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olutions\November 2020 Solutions\ERM\"/>
    </mc:Choice>
  </mc:AlternateContent>
  <xr:revisionPtr revIDLastSave="0" documentId="8_{966E044B-AC37-4B32-864B-6595345FBE24}" xr6:coauthVersionLast="45" xr6:coauthVersionMax="45" xr10:uidLastSave="{00000000-0000-0000-0000-000000000000}"/>
  <bookViews>
    <workbookView xWindow="-108" yWindow="-108" windowWidth="23256" windowHeight="12576" xr2:uid="{1D1E1571-B32F-49B3-8371-90FBE8AD7AF7}"/>
  </bookViews>
  <sheets>
    <sheet name="2(b)" sheetId="2" r:id="rId1"/>
    <sheet name="2(c)" sheetId="3" r:id="rId2"/>
    <sheet name="3(b)(i)" sheetId="4" r:id="rId3"/>
    <sheet name="4(b)(i)(ii)" sheetId="5" r:id="rId4"/>
    <sheet name="8" sheetId="1" r:id="rId5"/>
  </sheets>
  <externalReferences>
    <externalReference r:id="rId6"/>
    <externalReference r:id="rId7"/>
  </externalReferences>
  <definedNames>
    <definedName name="CognitiveLevels" localSheetId="2">'[1]Syllabus List'!$C$331:$C$334</definedName>
    <definedName name="CognitiveLevels">'[2]Syllabus List'!$C$331:$C$334</definedName>
    <definedName name="CommonGuidance" localSheetId="2">'[1]Syllabus List'!$B$338:$B$347</definedName>
    <definedName name="CommonGuidance">'[2]Syllabus List'!$B$338:$B$347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3" localSheetId="2">'[1]Syllabus List'!#REF!</definedName>
    <definedName name="LO_3">'[2]Syllabus List'!#REF!</definedName>
    <definedName name="LOList" localSheetId="2">'[1]Syllabus List'!$A$330:$A$360</definedName>
    <definedName name="LOList">'[2]Syllabus List'!$A$330:$A$360</definedName>
    <definedName name="Q_sources" localSheetId="2">[1]Qxt!$B$9:$B$18</definedName>
    <definedName name="Q_sources">[2]Qxt!$B$9:$B$18</definedName>
    <definedName name="SyllabusListing" localSheetId="2">'[1]Syllabus List'!$B$4:$B$327</definedName>
    <definedName name="SyllabusListing">'[2]Syllabus List'!$B$4:$B$327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5" l="1"/>
  <c r="C29" i="5" s="1"/>
  <c r="F21" i="5" s="1"/>
  <c r="C27" i="5"/>
  <c r="C28" i="5"/>
  <c r="C33" i="5"/>
  <c r="C34" i="5"/>
  <c r="C35" i="5"/>
  <c r="F22" i="5" s="1"/>
  <c r="D9" i="4"/>
  <c r="E9" i="4"/>
  <c r="F9" i="4"/>
  <c r="D10" i="4"/>
  <c r="E10" i="4" s="1"/>
  <c r="F10" i="4" s="1"/>
  <c r="D11" i="4"/>
  <c r="E11" i="4"/>
  <c r="F11" i="4" s="1"/>
  <c r="D12" i="4"/>
  <c r="E12" i="4"/>
  <c r="F12" i="4" s="1"/>
  <c r="D13" i="4"/>
  <c r="E13" i="4" s="1"/>
  <c r="F13" i="4" s="1"/>
  <c r="B35" i="3"/>
  <c r="B39" i="3" s="1"/>
  <c r="B25" i="3" s="1"/>
  <c r="B34" i="2"/>
  <c r="C34" i="2"/>
  <c r="D34" i="2"/>
  <c r="E34" i="2" s="1"/>
  <c r="B22" i="2" s="1"/>
  <c r="G34" i="2"/>
  <c r="B40" i="2"/>
  <c r="D40" i="2" s="1"/>
  <c r="G40" i="2"/>
  <c r="H40" i="2"/>
  <c r="B41" i="2"/>
  <c r="D41" i="2"/>
  <c r="E41" i="2" s="1"/>
  <c r="G41" i="2"/>
  <c r="H41" i="2"/>
  <c r="B42" i="2"/>
  <c r="D42" i="2" s="1"/>
  <c r="C42" i="2"/>
  <c r="G42" i="2"/>
  <c r="H42" i="2"/>
  <c r="B48" i="2"/>
  <c r="E40" i="2" l="1"/>
  <c r="C22" i="2" s="1"/>
  <c r="D22" i="2" s="1"/>
  <c r="F40" i="2"/>
  <c r="F42" i="2"/>
  <c r="E42" i="2"/>
  <c r="F14" i="4"/>
  <c r="C19" i="4" s="1"/>
  <c r="B40" i="3"/>
  <c r="B24" i="3" s="1"/>
  <c r="F41" i="2"/>
  <c r="F34" i="2"/>
  <c r="B23" i="2" s="1"/>
  <c r="C77" i="1"/>
  <c r="C76" i="1"/>
  <c r="C75" i="1"/>
  <c r="D54" i="1"/>
  <c r="E53" i="1"/>
  <c r="C54" i="1"/>
  <c r="H54" i="1" s="1"/>
  <c r="C53" i="1"/>
  <c r="E52" i="1"/>
  <c r="D52" i="1"/>
  <c r="D45" i="1"/>
  <c r="D44" i="1"/>
  <c r="D43" i="1"/>
  <c r="I34" i="1"/>
  <c r="C59" i="1" s="1"/>
  <c r="B49" i="2" l="1"/>
  <c r="C23" i="2"/>
  <c r="D23" i="2" s="1"/>
  <c r="H52" i="1"/>
  <c r="H53" i="1"/>
  <c r="C64" i="1"/>
  <c r="D75" i="1" s="1"/>
  <c r="C60" i="1"/>
  <c r="C61" i="1"/>
  <c r="C66" i="1" s="1"/>
  <c r="D77" i="1" s="1"/>
  <c r="B50" i="2" l="1"/>
  <c r="B52" i="2" s="1"/>
  <c r="B53" i="2" s="1"/>
  <c r="D25" i="2" s="1"/>
  <c r="C65" i="1"/>
  <c r="D76" i="1" s="1"/>
  <c r="C67" i="1"/>
</calcChain>
</file>

<file path=xl/sharedStrings.xml><?xml version="1.0" encoding="utf-8"?>
<sst xmlns="http://schemas.openxmlformats.org/spreadsheetml/2006/main" count="220" uniqueCount="163">
  <si>
    <t>ERM Exam Fall 2020</t>
  </si>
  <si>
    <t>Question 8</t>
  </si>
  <si>
    <t>A new performance metric is being proposed that includes the following Key Features.</t>
  </si>
  <si>
    <t>- Economic Capital for each subsidiary will be determined using the subsidiary's current economic capital methodologies described in the Case Study.</t>
  </si>
  <si>
    <t>- Revised Economic Capital will be aggregated based on a correlation matrix.</t>
  </si>
  <si>
    <t>- Revised Economic Capital will be allocated to each subsidiary based on game theory methodology.</t>
  </si>
  <si>
    <t>- Economic income will be used to measure return.</t>
  </si>
  <si>
    <t>- Revised Economic Capital will be used to measure equity.</t>
  </si>
  <si>
    <t>You are provided with the following:</t>
  </si>
  <si>
    <t>2019 Financial Statements by subsidiary ($ millions)</t>
  </si>
  <si>
    <t>SLIC</t>
  </si>
  <si>
    <t>AHA</t>
  </si>
  <si>
    <t>Pryde</t>
  </si>
  <si>
    <t>Economic Capital</t>
  </si>
  <si>
    <t>Economic Income</t>
  </si>
  <si>
    <t>Statutory Surplus</t>
  </si>
  <si>
    <t>Statutory Income</t>
  </si>
  <si>
    <t>Risk Correlation Matrix</t>
  </si>
  <si>
    <t>Reponses for parts (c)(i), (c)(iii), and (c)(iv) are to be provided in the Word document.  Answers to (a), (b), and (c)(ii) are to be provided below.</t>
  </si>
  <si>
    <t>(a)</t>
  </si>
  <si>
    <t>Calculate the US subsidiaries Revised Economic Capital aggregated using the correlation matrix method.  Show your work.</t>
  </si>
  <si>
    <t>ANSWER:</t>
  </si>
  <si>
    <t>(b)</t>
  </si>
  <si>
    <t>Calculate the Revised Economic Capital allocated to each of the three subsidiaries after aggregation using the game theory allocation method.  Show your work.</t>
  </si>
  <si>
    <t>(c)(ii)</t>
  </si>
  <si>
    <t>Compare the 2019 results of the old performance metric to the results of the new performance metric.  Show your work.</t>
  </si>
  <si>
    <t xml:space="preserve">Aggregate revised economic capital = </t>
  </si>
  <si>
    <t>=(435*435+2*0.5*435*1800+2*0.2*435*980+1800*1800+2*0.1*1800*980+980*980)^0.5</t>
  </si>
  <si>
    <t>Allocated capital under game theroy = average of (1st in, 2nd in, last in)</t>
  </si>
  <si>
    <t>1st In</t>
  </si>
  <si>
    <t>SLIC (1st in)</t>
  </si>
  <si>
    <t>AHA (1st in)</t>
  </si>
  <si>
    <t>=2386.62/3215*435</t>
  </si>
  <si>
    <t>=2386.62/3215*1800</t>
  </si>
  <si>
    <t>=2386.62/3215*980</t>
  </si>
  <si>
    <t>2nd In</t>
  </si>
  <si>
    <t>Diversified capital of two entities</t>
  </si>
  <si>
    <t>1st in values are the same as the pro rata capital calculation: (Total Diversified Capital) / (Total Capital) * (Individual Capital)</t>
  </si>
  <si>
    <t>2nd in is the average of the marginal additional capital of each combination of two individual companies</t>
  </si>
  <si>
    <t>For Company X it is the Average of: [(Diversified Capital of X&amp;Y) - (Pro Rata Capital Y), (Diversified Capital of X&amp;Z) - (Pro Rata Capital Z)]</t>
  </si>
  <si>
    <t>SLIC (2nd in)</t>
  </si>
  <si>
    <t>AHA (2nd in)</t>
  </si>
  <si>
    <t>Pryde (2nd in)</t>
  </si>
  <si>
    <t>Last in</t>
  </si>
  <si>
    <t>Last in is the marginal additional capital of the company after diversifying the first two</t>
  </si>
  <si>
    <t>For Company X it is: (Total Diversified Capital) - (Diversified Capital of Y&amp;Z)</t>
  </si>
  <si>
    <t>Pryde (1st in)</t>
  </si>
  <si>
    <t>SLIC (Last in)</t>
  </si>
  <si>
    <t>AHA (Last in)</t>
  </si>
  <si>
    <t>Pryde (Last in)</t>
  </si>
  <si>
    <t>Game theory method, average of 1st in, 2nd in, last in</t>
  </si>
  <si>
    <t>SLIC (Game Theory)</t>
  </si>
  <si>
    <t>AHA (Game Theory)</t>
  </si>
  <si>
    <t>Pryde (Game Theory)</t>
  </si>
  <si>
    <t>&lt;- Should sum to total diversified Capital</t>
  </si>
  <si>
    <t>Old Method = Stat Surplus / Stat Surplus</t>
  </si>
  <si>
    <t>New Method = Economic Income / Revised Economic Capital</t>
  </si>
  <si>
    <t>Old Method</t>
  </si>
  <si>
    <t>New Method</t>
  </si>
  <si>
    <t>PVBP</t>
  </si>
  <si>
    <t>PVBP per thousand</t>
  </si>
  <si>
    <t>Delta Bond Price 2</t>
  </si>
  <si>
    <t>Delta Bond Price 1</t>
  </si>
  <si>
    <t>1 Bps</t>
  </si>
  <si>
    <t>Portfolio Amount</t>
  </si>
  <si>
    <t>ii)</t>
  </si>
  <si>
    <t>Discount factor for Convexity</t>
  </si>
  <si>
    <t>Discount factor for Duration</t>
  </si>
  <si>
    <t>Time Weighted Cashflow for  Convexity</t>
  </si>
  <si>
    <t>Time Weighted Cashflow for  Duration</t>
  </si>
  <si>
    <t>Total CF</t>
  </si>
  <si>
    <t>Redemption</t>
  </si>
  <si>
    <t>Coupon</t>
  </si>
  <si>
    <t>T</t>
  </si>
  <si>
    <t>Bond2</t>
  </si>
  <si>
    <t>Discount factor</t>
  </si>
  <si>
    <t>Bond1</t>
  </si>
  <si>
    <t>i)</t>
  </si>
  <si>
    <t>Part (b)(ii)</t>
  </si>
  <si>
    <t>Number of contracts to be entered into →</t>
  </si>
  <si>
    <t>Part (b)(i)</t>
  </si>
  <si>
    <t>Convexity →</t>
  </si>
  <si>
    <t>Modified Duration →</t>
  </si>
  <si>
    <t>Reference Portfolio</t>
  </si>
  <si>
    <t>Bond  2</t>
  </si>
  <si>
    <t xml:space="preserve">Bond 1 </t>
  </si>
  <si>
    <t>Answers to be provided in the cells highlighted in yellow:</t>
  </si>
  <si>
    <t>Change in value of 1 interest rate futures contract resulting from a 1 basis point change in the interest rates</t>
  </si>
  <si>
    <t>?</t>
  </si>
  <si>
    <t>Change in BlueSky's reference portfolio value resulting from a 1 basis point change in gross redemption yield</t>
  </si>
  <si>
    <t>Value</t>
  </si>
  <si>
    <t>Description</t>
  </si>
  <si>
    <t>Parameter</t>
  </si>
  <si>
    <t>Redemption Value</t>
  </si>
  <si>
    <t>Yield</t>
  </si>
  <si>
    <t>Price</t>
  </si>
  <si>
    <t>Annual Coupon</t>
  </si>
  <si>
    <t>Term (in years)</t>
  </si>
  <si>
    <t>Allocation  %</t>
  </si>
  <si>
    <t>Determine the number of futures contracts BlueSky should enter into.  Show all work.</t>
  </si>
  <si>
    <t>Calculate the modified duration and convexity of each bond and for the reference portfolio. Show all work.</t>
  </si>
  <si>
    <t>Question 2</t>
  </si>
  <si>
    <t>Put</t>
  </si>
  <si>
    <t>Call</t>
  </si>
  <si>
    <t>Expected Payoff</t>
  </si>
  <si>
    <t>100th Simulation:</t>
  </si>
  <si>
    <t>S(1.5)</t>
  </si>
  <si>
    <t>Part i)</t>
  </si>
  <si>
    <t>Call option</t>
  </si>
  <si>
    <t>Put option</t>
  </si>
  <si>
    <t>Answer to be provided in the cells highlighted in yellow</t>
  </si>
  <si>
    <t>for call option</t>
  </si>
  <si>
    <t>for put option</t>
  </si>
  <si>
    <t>Average value of the risk-neutral payoffs for the first 99 simulations</t>
  </si>
  <si>
    <t>Final N(0,1) simulated value from the sample</t>
  </si>
  <si>
    <t>compounded continuously</t>
  </si>
  <si>
    <t>Risk-free rate</t>
  </si>
  <si>
    <t>Sample size</t>
  </si>
  <si>
    <t>Monte Carlo simulation amounts</t>
  </si>
  <si>
    <t>USD / EUR</t>
  </si>
  <si>
    <t>Call exercise price</t>
  </si>
  <si>
    <t>Put exercise price</t>
  </si>
  <si>
    <t>Current 6-mo forward exchange rate</t>
  </si>
  <si>
    <t>EUR</t>
  </si>
  <si>
    <t>Notional Amount</t>
  </si>
  <si>
    <t>Strategy B general information</t>
  </si>
  <si>
    <t>Calculate the expected payoff of each option under Strategy B.  Show all work.</t>
  </si>
  <si>
    <t>Part (c)(i)</t>
  </si>
  <si>
    <t>Candidate may write down the formula.  It is not required</t>
  </si>
  <si>
    <t>Total risk adjustment for the term insurance product →</t>
  </si>
  <si>
    <t>Answer to be provided in the cell highlighted in yellow</t>
  </si>
  <si>
    <t>Risk-free discount rate</t>
  </si>
  <si>
    <t>Cost of capital rate</t>
  </si>
  <si>
    <t>PV Cost of Capital</t>
  </si>
  <si>
    <t>Cost of Capital</t>
  </si>
  <si>
    <t>Capital Amount</t>
  </si>
  <si>
    <t>99% Confidence Level Liability Cash Flow ($ million)</t>
  </si>
  <si>
    <t>Undiscounted End of Period Expected Value of Future Liability Cash Flow ($ million)</t>
  </si>
  <si>
    <t>Year</t>
  </si>
  <si>
    <t>the cost-of-capital technique according to IFRS 17.  Show all work.</t>
  </si>
  <si>
    <t xml:space="preserve">Calculate the total risk adjustment for the term insurance product using </t>
  </si>
  <si>
    <t>Question 3</t>
  </si>
  <si>
    <t>Candidate work in blue</t>
  </si>
  <si>
    <t>Solution</t>
  </si>
  <si>
    <t>A</t>
  </si>
  <si>
    <t>AA</t>
  </si>
  <si>
    <t>Amount to sell = Exposure * Probability of migrating to BBB</t>
  </si>
  <si>
    <t>Need to sell bonds that downgrade to BBB-rated after one year</t>
  </si>
  <si>
    <t>BBB</t>
  </si>
  <si>
    <t>Each credit rating - expected credit losses = Exposure * Probability of Default * (1 - Recovery Rate)</t>
  </si>
  <si>
    <t>Expected amount of bonds that need to be sold after one year →</t>
  </si>
  <si>
    <t>Expected credit losses from default in the next year →</t>
  </si>
  <si>
    <t>Initial Rating (%)</t>
  </si>
  <si>
    <t>Recovery Rate</t>
  </si>
  <si>
    <t>Default</t>
  </si>
  <si>
    <t>Year-end Rating (%)</t>
  </si>
  <si>
    <t xml:space="preserve"> </t>
  </si>
  <si>
    <t>Total</t>
  </si>
  <si>
    <t>Market Value of Assets ($ million)</t>
  </si>
  <si>
    <t>Bond Rating</t>
  </si>
  <si>
    <t xml:space="preserve">Calculate the expected amount of bonds that need to be sold after one year in order to satisfy the RAS.  Show all work. </t>
  </si>
  <si>
    <t>Calculate the expected credit losses from default in the next year using the credit migration model.  Show all work.</t>
  </si>
  <si>
    <t>Question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</si>
</sst>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%"/>
    <numFmt numFmtId="167" formatCode="_(* #,##0.000000_);_(* \(#,##0.000000\);_(* &quot;-&quot;??_);_(@_)"/>
    <numFmt numFmtId="168" formatCode="#,##0.0000"/>
    <numFmt numFmtId="169" formatCode="0.0000_);\(0.0000\)"/>
    <numFmt numFmtId="170" formatCode="_(* #,##0.0000_);_(* \(#,##0.0000\);_(* &quot;-&quot;??_);_(@_)"/>
    <numFmt numFmtId="171" formatCode="0.0000"/>
    <numFmt numFmtId="172" formatCode="0.000"/>
    <numFmt numFmtId="173" formatCode="_(* #,##0_);_(* \(#,##0\);_(* &quot;-&quot;??_);_(@_)"/>
    <numFmt numFmtId="174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u/>
      <sz val="11"/>
      <color rgb="FF0000FF"/>
      <name val="Times New Roman"/>
      <family val="1"/>
    </font>
    <font>
      <sz val="11"/>
      <color theme="1"/>
      <name val="Arial"/>
      <family val="2"/>
    </font>
    <font>
      <sz val="10"/>
      <name val="Arial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4" fillId="0" borderId="4" xfId="3" applyFont="1" applyBorder="1"/>
    <xf numFmtId="9" fontId="5" fillId="0" borderId="5" xfId="3" applyNumberFormat="1" applyFont="1" applyBorder="1" applyAlignment="1">
      <alignment horizontal="center"/>
    </xf>
    <xf numFmtId="9" fontId="5" fillId="0" borderId="6" xfId="3" applyNumberFormat="1" applyFont="1" applyBorder="1" applyAlignment="1">
      <alignment horizontal="center"/>
    </xf>
    <xf numFmtId="9" fontId="5" fillId="0" borderId="7" xfId="3" applyNumberFormat="1" applyFont="1" applyBorder="1" applyAlignment="1">
      <alignment horizontal="center"/>
    </xf>
    <xf numFmtId="0" fontId="5" fillId="0" borderId="8" xfId="3" applyFont="1" applyBorder="1"/>
    <xf numFmtId="3" fontId="4" fillId="0" borderId="9" xfId="3" applyNumberFormat="1" applyFont="1" applyBorder="1" applyAlignment="1">
      <alignment horizontal="center"/>
    </xf>
    <xf numFmtId="3" fontId="4" fillId="0" borderId="10" xfId="3" applyNumberFormat="1" applyFont="1" applyBorder="1" applyAlignment="1">
      <alignment horizontal="center"/>
    </xf>
    <xf numFmtId="3" fontId="4" fillId="0" borderId="11" xfId="3" applyNumberFormat="1" applyFont="1" applyBorder="1" applyAlignment="1">
      <alignment horizontal="center"/>
    </xf>
    <xf numFmtId="0" fontId="5" fillId="0" borderId="12" xfId="3" applyFont="1" applyBorder="1"/>
    <xf numFmtId="3" fontId="4" fillId="0" borderId="13" xfId="3" applyNumberFormat="1" applyFont="1" applyBorder="1" applyAlignment="1">
      <alignment horizontal="center"/>
    </xf>
    <xf numFmtId="3" fontId="4" fillId="0" borderId="14" xfId="3" applyNumberFormat="1" applyFont="1" applyBorder="1" applyAlignment="1">
      <alignment horizontal="center"/>
    </xf>
    <xf numFmtId="3" fontId="4" fillId="0" borderId="15" xfId="3" applyNumberFormat="1" applyFont="1" applyBorder="1" applyAlignment="1">
      <alignment horizontal="center"/>
    </xf>
    <xf numFmtId="0" fontId="5" fillId="0" borderId="16" xfId="3" applyFont="1" applyBorder="1"/>
    <xf numFmtId="3" fontId="4" fillId="0" borderId="17" xfId="3" applyNumberFormat="1" applyFont="1" applyBorder="1" applyAlignment="1">
      <alignment horizontal="center"/>
    </xf>
    <xf numFmtId="3" fontId="4" fillId="0" borderId="18" xfId="3" applyNumberFormat="1" applyFont="1" applyBorder="1" applyAlignment="1">
      <alignment horizontal="center"/>
    </xf>
    <xf numFmtId="3" fontId="4" fillId="0" borderId="19" xfId="3" applyNumberFormat="1" applyFont="1" applyBorder="1" applyAlignment="1">
      <alignment horizontal="center"/>
    </xf>
    <xf numFmtId="164" fontId="4" fillId="0" borderId="9" xfId="3" applyNumberFormat="1" applyFont="1" applyBorder="1" applyAlignment="1">
      <alignment horizontal="center"/>
    </xf>
    <xf numFmtId="164" fontId="4" fillId="0" borderId="10" xfId="3" applyNumberFormat="1" applyFont="1" applyBorder="1" applyAlignment="1">
      <alignment horizontal="center"/>
    </xf>
    <xf numFmtId="164" fontId="4" fillId="0" borderId="11" xfId="3" applyNumberFormat="1" applyFont="1" applyBorder="1" applyAlignment="1">
      <alignment horizontal="center"/>
    </xf>
    <xf numFmtId="164" fontId="4" fillId="0" borderId="13" xfId="3" applyNumberFormat="1" applyFont="1" applyBorder="1" applyAlignment="1">
      <alignment horizontal="center"/>
    </xf>
    <xf numFmtId="164" fontId="4" fillId="0" borderId="15" xfId="3" applyNumberFormat="1" applyFont="1" applyBorder="1" applyAlignment="1">
      <alignment horizontal="center"/>
    </xf>
    <xf numFmtId="164" fontId="4" fillId="0" borderId="14" xfId="3" applyNumberFormat="1" applyFont="1" applyBorder="1" applyAlignment="1">
      <alignment horizontal="center"/>
    </xf>
    <xf numFmtId="164" fontId="4" fillId="0" borderId="17" xfId="3" applyNumberFormat="1" applyFont="1" applyBorder="1" applyAlignment="1">
      <alignment horizontal="center"/>
    </xf>
    <xf numFmtId="164" fontId="4" fillId="0" borderId="18" xfId="3" applyNumberFormat="1" applyFont="1" applyBorder="1" applyAlignment="1">
      <alignment horizontal="center"/>
    </xf>
    <xf numFmtId="164" fontId="4" fillId="0" borderId="19" xfId="3" applyNumberFormat="1" applyFont="1" applyBorder="1" applyAlignment="1">
      <alignment horizontal="center"/>
    </xf>
    <xf numFmtId="0" fontId="6" fillId="0" borderId="0" xfId="0" applyFont="1"/>
    <xf numFmtId="49" fontId="0" fillId="0" borderId="0" xfId="0" applyNumberFormat="1"/>
    <xf numFmtId="0" fontId="2" fillId="0" borderId="0" xfId="0" applyFont="1"/>
    <xf numFmtId="165" fontId="0" fillId="0" borderId="0" xfId="1" applyNumberFormat="1" applyFont="1"/>
    <xf numFmtId="165" fontId="2" fillId="0" borderId="13" xfId="1" applyNumberFormat="1" applyFont="1" applyBorder="1"/>
    <xf numFmtId="165" fontId="2" fillId="0" borderId="0" xfId="1" applyNumberFormat="1" applyFont="1" applyBorder="1"/>
    <xf numFmtId="166" fontId="8" fillId="2" borderId="20" xfId="2" applyNumberFormat="1" applyFont="1" applyFill="1" applyBorder="1"/>
    <xf numFmtId="3" fontId="8" fillId="2" borderId="20" xfId="0" applyNumberFormat="1" applyFont="1" applyFill="1" applyBorder="1"/>
    <xf numFmtId="164" fontId="8" fillId="2" borderId="21" xfId="0" applyNumberFormat="1" applyFont="1" applyFill="1" applyBorder="1"/>
    <xf numFmtId="164" fontId="8" fillId="2" borderId="20" xfId="0" applyNumberFormat="1" applyFont="1" applyFill="1" applyBorder="1"/>
    <xf numFmtId="164" fontId="8" fillId="2" borderId="22" xfId="0" applyNumberFormat="1" applyFont="1" applyFill="1" applyBorder="1"/>
    <xf numFmtId="0" fontId="4" fillId="0" borderId="0" xfId="5" applyFont="1"/>
    <xf numFmtId="0" fontId="1" fillId="0" borderId="0" xfId="6"/>
    <xf numFmtId="0" fontId="9" fillId="0" borderId="0" xfId="6" applyFont="1"/>
    <xf numFmtId="43" fontId="9" fillId="0" borderId="0" xfId="6" applyNumberFormat="1" applyFont="1"/>
    <xf numFmtId="167" fontId="9" fillId="0" borderId="0" xfId="7" applyNumberFormat="1" applyFont="1"/>
    <xf numFmtId="3" fontId="10" fillId="3" borderId="13" xfId="6" applyNumberFormat="1" applyFont="1" applyFill="1" applyBorder="1"/>
    <xf numFmtId="0" fontId="10" fillId="4" borderId="13" xfId="6" applyFont="1" applyFill="1" applyBorder="1"/>
    <xf numFmtId="168" fontId="10" fillId="3" borderId="13" xfId="6" applyNumberFormat="1" applyFont="1" applyFill="1" applyBorder="1"/>
    <xf numFmtId="169" fontId="9" fillId="0" borderId="13" xfId="6" applyNumberFormat="1" applyFont="1" applyBorder="1"/>
    <xf numFmtId="0" fontId="9" fillId="0" borderId="13" xfId="6" applyFont="1" applyBorder="1"/>
    <xf numFmtId="3" fontId="9" fillId="0" borderId="13" xfId="6" applyNumberFormat="1" applyFont="1" applyBorder="1"/>
    <xf numFmtId="170" fontId="1" fillId="0" borderId="0" xfId="6" applyNumberFormat="1"/>
    <xf numFmtId="43" fontId="1" fillId="0" borderId="0" xfId="7" applyFont="1"/>
    <xf numFmtId="171" fontId="9" fillId="0" borderId="13" xfId="6" applyNumberFormat="1" applyFont="1" applyBorder="1" applyAlignment="1">
      <alignment horizontal="center"/>
    </xf>
    <xf numFmtId="0" fontId="9" fillId="0" borderId="13" xfId="6" applyFont="1" applyBorder="1" applyAlignment="1">
      <alignment horizontal="center"/>
    </xf>
    <xf numFmtId="43" fontId="1" fillId="0" borderId="0" xfId="6" applyNumberFormat="1"/>
    <xf numFmtId="165" fontId="1" fillId="0" borderId="0" xfId="6" applyNumberFormat="1"/>
    <xf numFmtId="0" fontId="10" fillId="4" borderId="13" xfId="6" applyFont="1" applyFill="1" applyBorder="1" applyAlignment="1">
      <alignment horizontal="center" wrapText="1"/>
    </xf>
    <xf numFmtId="0" fontId="10" fillId="4" borderId="13" xfId="6" applyFont="1" applyFill="1" applyBorder="1" applyAlignment="1">
      <alignment horizontal="center"/>
    </xf>
    <xf numFmtId="0" fontId="11" fillId="0" borderId="0" xfId="6" applyFont="1"/>
    <xf numFmtId="0" fontId="9" fillId="0" borderId="0" xfId="6" applyFont="1" applyAlignment="1">
      <alignment horizontal="center"/>
    </xf>
    <xf numFmtId="0" fontId="9" fillId="0" borderId="0" xfId="5" applyFont="1"/>
    <xf numFmtId="0" fontId="4" fillId="5" borderId="0" xfId="5" applyFont="1" applyFill="1"/>
    <xf numFmtId="1" fontId="4" fillId="2" borderId="20" xfId="5" applyNumberFormat="1" applyFont="1" applyFill="1" applyBorder="1"/>
    <xf numFmtId="0" fontId="4" fillId="0" borderId="0" xfId="6" applyFont="1"/>
    <xf numFmtId="0" fontId="6" fillId="0" borderId="0" xfId="6" applyFont="1"/>
    <xf numFmtId="171" fontId="4" fillId="2" borderId="19" xfId="5" applyNumberFormat="1" applyFont="1" applyFill="1" applyBorder="1"/>
    <xf numFmtId="172" fontId="4" fillId="2" borderId="17" xfId="5" applyNumberFormat="1" applyFont="1" applyFill="1" applyBorder="1"/>
    <xf numFmtId="171" fontId="4" fillId="2" borderId="16" xfId="6" applyNumberFormat="1" applyFont="1" applyFill="1" applyBorder="1"/>
    <xf numFmtId="171" fontId="4" fillId="2" borderId="23" xfId="5" applyNumberFormat="1" applyFont="1" applyFill="1" applyBorder="1"/>
    <xf numFmtId="171" fontId="4" fillId="2" borderId="24" xfId="5" applyNumberFormat="1" applyFont="1" applyFill="1" applyBorder="1"/>
    <xf numFmtId="171" fontId="4" fillId="2" borderId="25" xfId="6" applyNumberFormat="1" applyFont="1" applyFill="1" applyBorder="1"/>
    <xf numFmtId="0" fontId="5" fillId="0" borderId="21" xfId="6" applyFont="1" applyBorder="1" applyAlignment="1">
      <alignment horizontal="center"/>
    </xf>
    <xf numFmtId="0" fontId="4" fillId="0" borderId="19" xfId="6" applyFont="1" applyBorder="1" applyAlignment="1">
      <alignment vertical="center"/>
    </xf>
    <xf numFmtId="0" fontId="4" fillId="0" borderId="17" xfId="5" applyFont="1" applyBorder="1" applyAlignment="1">
      <alignment vertical="center" wrapText="1"/>
    </xf>
    <xf numFmtId="0" fontId="1" fillId="0" borderId="16" xfId="5" applyBorder="1"/>
    <xf numFmtId="3" fontId="4" fillId="0" borderId="11" xfId="6" applyNumberFormat="1" applyFont="1" applyBorder="1" applyAlignment="1">
      <alignment horizontal="right" vertical="center"/>
    </xf>
    <xf numFmtId="0" fontId="4" fillId="0" borderId="9" xfId="5" applyFont="1" applyBorder="1" applyAlignment="1">
      <alignment vertical="center" wrapText="1"/>
    </xf>
    <xf numFmtId="0" fontId="1" fillId="0" borderId="8" xfId="5" applyBorder="1"/>
    <xf numFmtId="0" fontId="3" fillId="0" borderId="7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4" fillId="0" borderId="19" xfId="6" applyFont="1" applyBorder="1" applyAlignment="1">
      <alignment horizontal="center"/>
    </xf>
    <xf numFmtId="0" fontId="4" fillId="0" borderId="17" xfId="6" applyFont="1" applyBorder="1" applyAlignment="1">
      <alignment horizontal="center"/>
    </xf>
    <xf numFmtId="0" fontId="4" fillId="0" borderId="16" xfId="6" applyFont="1" applyBorder="1"/>
    <xf numFmtId="10" fontId="4" fillId="0" borderId="14" xfId="6" applyNumberFormat="1" applyFont="1" applyBorder="1" applyAlignment="1">
      <alignment horizontal="center"/>
    </xf>
    <xf numFmtId="10" fontId="4" fillId="0" borderId="13" xfId="6" applyNumberFormat="1" applyFont="1" applyBorder="1" applyAlignment="1">
      <alignment horizontal="center"/>
    </xf>
    <xf numFmtId="0" fontId="4" fillId="0" borderId="12" xfId="6" applyFont="1" applyBorder="1"/>
    <xf numFmtId="1" fontId="4" fillId="0" borderId="14" xfId="6" applyNumberFormat="1" applyFont="1" applyBorder="1" applyAlignment="1">
      <alignment horizontal="center"/>
    </xf>
    <xf numFmtId="1" fontId="4" fillId="0" borderId="13" xfId="6" applyNumberFormat="1" applyFont="1" applyBorder="1" applyAlignment="1">
      <alignment horizontal="center"/>
    </xf>
    <xf numFmtId="0" fontId="4" fillId="0" borderId="14" xfId="6" applyFont="1" applyBorder="1" applyAlignment="1">
      <alignment horizontal="center"/>
    </xf>
    <xf numFmtId="0" fontId="4" fillId="0" borderId="13" xfId="6" applyFont="1" applyBorder="1" applyAlignment="1">
      <alignment horizontal="center"/>
    </xf>
    <xf numFmtId="9" fontId="4" fillId="0" borderId="11" xfId="6" applyNumberFormat="1" applyFont="1" applyBorder="1" applyAlignment="1">
      <alignment horizontal="center"/>
    </xf>
    <xf numFmtId="9" fontId="4" fillId="0" borderId="9" xfId="6" applyNumberFormat="1" applyFont="1" applyBorder="1" applyAlignment="1">
      <alignment horizontal="center"/>
    </xf>
    <xf numFmtId="0" fontId="4" fillId="0" borderId="8" xfId="6" applyFont="1" applyBorder="1"/>
    <xf numFmtId="0" fontId="5" fillId="0" borderId="20" xfId="6" applyFont="1" applyBorder="1" applyAlignment="1">
      <alignment horizontal="center"/>
    </xf>
    <xf numFmtId="0" fontId="5" fillId="0" borderId="20" xfId="6" applyFont="1" applyBorder="1"/>
    <xf numFmtId="0" fontId="5" fillId="0" borderId="0" xfId="5" applyFont="1"/>
    <xf numFmtId="0" fontId="3" fillId="0" borderId="0" xfId="5" applyFont="1"/>
    <xf numFmtId="173" fontId="4" fillId="0" borderId="0" xfId="7" applyNumberFormat="1" applyFont="1"/>
    <xf numFmtId="0" fontId="12" fillId="0" borderId="0" xfId="6" applyFont="1"/>
    <xf numFmtId="171" fontId="9" fillId="0" borderId="13" xfId="6" applyNumberFormat="1" applyFont="1" applyBorder="1"/>
    <xf numFmtId="0" fontId="10" fillId="0" borderId="0" xfId="6" applyFont="1"/>
    <xf numFmtId="0" fontId="13" fillId="0" borderId="0" xfId="8"/>
    <xf numFmtId="0" fontId="9" fillId="0" borderId="13" xfId="8" applyFont="1" applyBorder="1"/>
    <xf numFmtId="0" fontId="4" fillId="5" borderId="0" xfId="6" applyFont="1" applyFill="1"/>
    <xf numFmtId="174" fontId="4" fillId="2" borderId="13" xfId="6" applyNumberFormat="1" applyFont="1" applyFill="1" applyBorder="1"/>
    <xf numFmtId="0" fontId="4" fillId="0" borderId="13" xfId="6" applyFont="1" applyBorder="1"/>
    <xf numFmtId="0" fontId="5" fillId="0" borderId="13" xfId="6" applyFont="1" applyBorder="1" applyAlignment="1">
      <alignment horizontal="center"/>
    </xf>
    <xf numFmtId="0" fontId="4" fillId="0" borderId="0" xfId="6" applyFont="1" applyAlignment="1">
      <alignment wrapText="1"/>
    </xf>
    <xf numFmtId="43" fontId="4" fillId="0" borderId="0" xfId="9" applyFont="1"/>
    <xf numFmtId="173" fontId="4" fillId="0" borderId="0" xfId="9" applyNumberFormat="1" applyFont="1"/>
    <xf numFmtId="0" fontId="5" fillId="0" borderId="0" xfId="6" applyFont="1"/>
    <xf numFmtId="0" fontId="3" fillId="0" borderId="0" xfId="6" applyFont="1"/>
    <xf numFmtId="0" fontId="4" fillId="0" borderId="0" xfId="3" applyFont="1"/>
    <xf numFmtId="3" fontId="4" fillId="2" borderId="20" xfId="3" applyNumberFormat="1" applyFont="1" applyFill="1" applyBorder="1"/>
    <xf numFmtId="0" fontId="6" fillId="0" borderId="0" xfId="3" applyFont="1"/>
    <xf numFmtId="3" fontId="4" fillId="0" borderId="0" xfId="3" applyNumberFormat="1" applyFont="1"/>
    <xf numFmtId="0" fontId="4" fillId="0" borderId="0" xfId="3" applyFont="1" applyAlignment="1">
      <alignment wrapText="1"/>
    </xf>
    <xf numFmtId="166" fontId="4" fillId="0" borderId="0" xfId="10" applyNumberFormat="1" applyFont="1"/>
    <xf numFmtId="3" fontId="10" fillId="0" borderId="0" xfId="3" applyNumberFormat="1" applyFont="1"/>
    <xf numFmtId="3" fontId="9" fillId="0" borderId="0" xfId="3" applyNumberFormat="1" applyFont="1"/>
    <xf numFmtId="0" fontId="9" fillId="0" borderId="0" xfId="3" applyFont="1"/>
    <xf numFmtId="0" fontId="4" fillId="0" borderId="16" xfId="3" applyFont="1" applyBorder="1" applyAlignment="1">
      <alignment horizontal="center" wrapText="1"/>
    </xf>
    <xf numFmtId="0" fontId="4" fillId="0" borderId="12" xfId="3" applyFont="1" applyBorder="1" applyAlignment="1">
      <alignment horizontal="center" wrapText="1"/>
    </xf>
    <xf numFmtId="0" fontId="10" fillId="0" borderId="0" xfId="3" applyFont="1" applyAlignment="1">
      <alignment horizontal="center" wrapText="1"/>
    </xf>
    <xf numFmtId="0" fontId="5" fillId="0" borderId="23" xfId="3" applyFont="1" applyBorder="1" applyAlignment="1">
      <alignment horizontal="center" wrapText="1"/>
    </xf>
    <xf numFmtId="0" fontId="5" fillId="0" borderId="24" xfId="3" applyFont="1" applyBorder="1" applyAlignment="1">
      <alignment horizontal="center" wrapText="1"/>
    </xf>
    <xf numFmtId="0" fontId="5" fillId="0" borderId="25" xfId="3" applyFont="1" applyBorder="1" applyAlignment="1">
      <alignment horizontal="center" wrapText="1"/>
    </xf>
    <xf numFmtId="0" fontId="5" fillId="0" borderId="0" xfId="3" applyFont="1"/>
    <xf numFmtId="0" fontId="3" fillId="0" borderId="0" xfId="3" applyFont="1"/>
    <xf numFmtId="0" fontId="4" fillId="2" borderId="20" xfId="3" applyFont="1" applyFill="1" applyBorder="1"/>
    <xf numFmtId="9" fontId="14" fillId="0" borderId="19" xfId="3" applyNumberFormat="1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9" fontId="14" fillId="0" borderId="14" xfId="3" applyNumberFormat="1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14" fillId="0" borderId="25" xfId="3" applyFont="1" applyBorder="1" applyAlignment="1">
      <alignment vertical="center" wrapText="1"/>
    </xf>
    <xf numFmtId="0" fontId="14" fillId="0" borderId="24" xfId="3" applyFont="1" applyBorder="1" applyAlignment="1">
      <alignment vertical="center" wrapText="1"/>
    </xf>
    <xf numFmtId="0" fontId="14" fillId="0" borderId="12" xfId="3" applyFont="1" applyBorder="1" applyAlignment="1">
      <alignment vertical="center" wrapText="1"/>
    </xf>
    <xf numFmtId="0" fontId="14" fillId="0" borderId="13" xfId="3" applyFont="1" applyBorder="1" applyAlignment="1">
      <alignment vertical="center" wrapText="1"/>
    </xf>
    <xf numFmtId="0" fontId="3" fillId="0" borderId="24" xfId="3" applyFont="1" applyBorder="1" applyAlignment="1">
      <alignment horizontal="center" vertical="center" wrapText="1"/>
    </xf>
    <xf numFmtId="0" fontId="3" fillId="0" borderId="23" xfId="3" applyFont="1" applyBorder="1" applyAlignment="1">
      <alignment horizontal="center" vertical="center" wrapText="1"/>
    </xf>
    <xf numFmtId="0" fontId="3" fillId="0" borderId="12" xfId="3" applyFont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</cellXfs>
  <cellStyles count="11">
    <cellStyle name="Comma" xfId="1" builtinId="3"/>
    <cellStyle name="Comma 2" xfId="7" xr:uid="{11DC7AC4-B09F-4FCD-9A6E-FA2264871F92}"/>
    <cellStyle name="Comma 8" xfId="9" xr:uid="{BD4B6E3C-84DD-4EE9-851D-79E5A6354BC7}"/>
    <cellStyle name="Normal" xfId="0" builtinId="0"/>
    <cellStyle name="Normal 2" xfId="8" xr:uid="{D610FA1E-ABF1-4AF7-9EAD-EA3653B31F67}"/>
    <cellStyle name="Normal 2 2" xfId="4" xr:uid="{6C04D63D-FBD9-4B59-A9BB-98A611D8A5DA}"/>
    <cellStyle name="Normal 5" xfId="3" xr:uid="{6A68327E-C93C-455A-B271-651E1C3529FC}"/>
    <cellStyle name="Normal 5 2" xfId="6" xr:uid="{6FE103C4-2852-4518-B59A-FDE3B3C63A76}"/>
    <cellStyle name="Normal 6" xfId="5" xr:uid="{ED06FA3F-E442-4FE3-BC7D-AC9362F2E07C}"/>
    <cellStyle name="Percent" xfId="2" builtinId="5"/>
    <cellStyle name="Percent 8" xfId="10" xr:uid="{45E871C7-DAFD-4F81-9D92-BF727F508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508000</xdr:colOff>
      <xdr:row>16</xdr:row>
      <xdr:rowOff>454025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A4BD3C-8517-4157-9611-65B0DF8B4AD3}"/>
            </a:ext>
          </a:extLst>
        </xdr:cNvPr>
        <xdr:cNvSpPr txBox="1"/>
      </xdr:nvSpPr>
      <xdr:spPr>
        <a:xfrm>
          <a:off x="508000" y="284670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635000</xdr:colOff>
      <xdr:row>16</xdr:row>
      <xdr:rowOff>254000</xdr:rowOff>
    </xdr:from>
    <xdr:to>
      <xdr:col>0</xdr:col>
      <xdr:colOff>1063625</xdr:colOff>
      <xdr:row>16</xdr:row>
      <xdr:rowOff>473075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6059AD-5A37-4AA5-AEDF-F3AC4852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" y="285242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619125</xdr:colOff>
      <xdr:row>17</xdr:row>
      <xdr:rowOff>238125</xdr:rowOff>
    </xdr:from>
    <xdr:to>
      <xdr:col>0</xdr:col>
      <xdr:colOff>1066800</xdr:colOff>
      <xdr:row>17</xdr:row>
      <xdr:rowOff>447675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883D47-0D36-4D68-8C86-B2B66D1F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019425"/>
          <a:ext cx="571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43B50A-C1AD-47CC-B8B1-4DC11D47DD28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69850</xdr:colOff>
      <xdr:row>13</xdr:row>
      <xdr:rowOff>187325</xdr:rowOff>
    </xdr:from>
    <xdr:ext cx="1129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4F1008E-F1DF-4BCF-8002-E1A214833530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𝜇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4F1008E-F1DF-4BCF-8002-E1A214833530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69850</xdr:colOff>
      <xdr:row>14</xdr:row>
      <xdr:rowOff>187325</xdr:rowOff>
    </xdr:from>
    <xdr:ext cx="1178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33774A5-7D03-43B1-B9A6-9556A7FAD7DE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𝜎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33774A5-7D03-43B1-B9A6-9556A7FAD7DE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2EB535-357E-4C76-BA5E-94FFFE653196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91595" cy="792163"/>
    <xdr:pic>
      <xdr:nvPicPr>
        <xdr:cNvPr id="3" name="Picture 2">
          <a:extLst>
            <a:ext uri="{FF2B5EF4-FFF2-40B4-BE49-F238E27FC236}">
              <a16:creationId xmlns:a16="http://schemas.microsoft.com/office/drawing/2014/main" id="{180D40CE-3149-479E-9C2A-EFE6BC7F6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0440"/>
          <a:ext cx="2691595" cy="7921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241529-D27E-483C-855E-2C3102303FB0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142862</xdr:colOff>
      <xdr:row>30</xdr:row>
      <xdr:rowOff>171451</xdr:rowOff>
    </xdr:from>
    <xdr:to>
      <xdr:col>3</xdr:col>
      <xdr:colOff>892956</xdr:colOff>
      <xdr:row>32</xdr:row>
      <xdr:rowOff>38102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B33C44-740F-4500-AE11-A01EAF54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37" y="5972176"/>
          <a:ext cx="750094" cy="247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vedal\Desktop\clean%20up\SOA\Fall%202020\Grading%20Rubric%20Fall%202020%20ERM%20Core%20Q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ial%20Stuff\Exams%20-%20Grading\2020%20Fall%20-%20Brown2020\Grading%20Rubric%20Fall%202020%20ERM%20Core%20Q2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Calculation for 3(b)(i)"/>
      <sheetName val="Syllabus List"/>
      <sheetName val="Core List"/>
    </sheetNames>
    <sheetDataSet>
      <sheetData sheetId="0"/>
      <sheetData sheetId="1">
        <row r="9">
          <cell r="B9" t="str">
            <v>3-39</v>
          </cell>
        </row>
        <row r="10">
          <cell r="B10" t="str">
            <v>2-39</v>
          </cell>
        </row>
        <row r="11">
          <cell r="B11" t="str">
            <v>2-22</v>
          </cell>
        </row>
        <row r="12">
          <cell r="B12" t="e">
            <v>#N/A</v>
          </cell>
        </row>
        <row r="13">
          <cell r="B13" t="e">
            <v>#N/A</v>
          </cell>
        </row>
        <row r="14">
          <cell r="B14" t="e">
            <v>#N/A</v>
          </cell>
        </row>
        <row r="15">
          <cell r="B15" t="e">
            <v>#N/A</v>
          </cell>
        </row>
        <row r="16">
          <cell r="B16" t="e">
            <v>#N/A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/>
      <sheetData sheetId="3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2(b)(i)(ii)"/>
      <sheetName val="2(c)(i)"/>
      <sheetName val="Syllabus List"/>
      <sheetName val="Core List"/>
    </sheetNames>
    <sheetDataSet>
      <sheetData sheetId="0" refreshError="1"/>
      <sheetData sheetId="1">
        <row r="9">
          <cell r="B9" t="str">
            <v>5-12</v>
          </cell>
        </row>
        <row r="10">
          <cell r="B10" t="str">
            <v>2-27</v>
          </cell>
        </row>
        <row r="11">
          <cell r="B11" t="str">
            <v>4-27</v>
          </cell>
        </row>
        <row r="12">
          <cell r="B12" t="str">
            <v>2-26</v>
          </cell>
        </row>
        <row r="13">
          <cell r="B13" t="str">
            <v>4-26</v>
          </cell>
        </row>
        <row r="14">
          <cell r="B14" t="str">
            <v>3-45</v>
          </cell>
        </row>
        <row r="15">
          <cell r="B15" t="str">
            <v>2-13</v>
          </cell>
        </row>
        <row r="16">
          <cell r="B16" t="str">
            <v>4-13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 refreshError="1"/>
      <sheetData sheetId="3" refreshError="1"/>
      <sheetData sheetId="4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23A9A-0B38-451F-9C9F-27F00D0BF5AA}">
  <dimension ref="A1:O53"/>
  <sheetViews>
    <sheetView tabSelected="1" zoomScaleNormal="100" workbookViewId="0"/>
  </sheetViews>
  <sheetFormatPr defaultColWidth="9.109375" defaultRowHeight="13.8" x14ac:dyDescent="0.25"/>
  <cols>
    <col min="1" max="1" width="32.6640625" style="41" customWidth="1"/>
    <col min="2" max="2" width="23.33203125" style="41" customWidth="1"/>
    <col min="3" max="3" width="17.6640625" style="41" customWidth="1"/>
    <col min="4" max="4" width="18" style="41" customWidth="1"/>
    <col min="5" max="6" width="18.5546875" style="41" customWidth="1"/>
    <col min="7" max="7" width="15.88671875" style="41" customWidth="1"/>
    <col min="8" max="8" width="15.6640625" style="41" customWidth="1"/>
    <col min="9" max="16384" width="9.109375" style="41"/>
  </cols>
  <sheetData>
    <row r="1" spans="1:3" ht="15.6" x14ac:dyDescent="0.3">
      <c r="A1" s="99" t="s">
        <v>0</v>
      </c>
    </row>
    <row r="3" spans="1:3" x14ac:dyDescent="0.25">
      <c r="A3" s="98" t="s">
        <v>101</v>
      </c>
    </row>
    <row r="4" spans="1:3" x14ac:dyDescent="0.25">
      <c r="A4" s="98"/>
    </row>
    <row r="5" spans="1:3" x14ac:dyDescent="0.25">
      <c r="A5" s="98" t="s">
        <v>80</v>
      </c>
      <c r="B5" s="41" t="s">
        <v>100</v>
      </c>
    </row>
    <row r="6" spans="1:3" x14ac:dyDescent="0.25">
      <c r="A6" s="98" t="s">
        <v>78</v>
      </c>
      <c r="B6" s="41" t="s">
        <v>99</v>
      </c>
    </row>
    <row r="7" spans="1:3" ht="14.4" thickBot="1" x14ac:dyDescent="0.3"/>
    <row r="8" spans="1:3" ht="14.4" thickBot="1" x14ac:dyDescent="0.3">
      <c r="A8" s="97"/>
      <c r="B8" s="96" t="s">
        <v>85</v>
      </c>
      <c r="C8" s="96" t="s">
        <v>84</v>
      </c>
    </row>
    <row r="9" spans="1:3" x14ac:dyDescent="0.25">
      <c r="A9" s="95" t="s">
        <v>98</v>
      </c>
      <c r="B9" s="94">
        <v>0.5</v>
      </c>
      <c r="C9" s="93">
        <v>0.5</v>
      </c>
    </row>
    <row r="10" spans="1:3" x14ac:dyDescent="0.25">
      <c r="A10" s="88" t="s">
        <v>97</v>
      </c>
      <c r="B10" s="92">
        <v>1</v>
      </c>
      <c r="C10" s="91">
        <v>3</v>
      </c>
    </row>
    <row r="11" spans="1:3" x14ac:dyDescent="0.25">
      <c r="A11" s="88" t="s">
        <v>96</v>
      </c>
      <c r="B11" s="87">
        <v>0.02</v>
      </c>
      <c r="C11" s="86">
        <v>0.03</v>
      </c>
    </row>
    <row r="12" spans="1:3" x14ac:dyDescent="0.25">
      <c r="A12" s="88" t="s">
        <v>95</v>
      </c>
      <c r="B12" s="90">
        <v>1005</v>
      </c>
      <c r="C12" s="89">
        <v>986</v>
      </c>
    </row>
    <row r="13" spans="1:3" x14ac:dyDescent="0.25">
      <c r="A13" s="88" t="s">
        <v>94</v>
      </c>
      <c r="B13" s="87">
        <v>1.4999999999999999E-2</v>
      </c>
      <c r="C13" s="86">
        <v>3.5000000000000003E-2</v>
      </c>
    </row>
    <row r="14" spans="1:3" ht="14.4" thickBot="1" x14ac:dyDescent="0.3">
      <c r="A14" s="85" t="s">
        <v>93</v>
      </c>
      <c r="B14" s="84">
        <v>1000</v>
      </c>
      <c r="C14" s="83">
        <v>1000</v>
      </c>
    </row>
    <row r="15" spans="1:3" ht="14.4" thickBot="1" x14ac:dyDescent="0.3"/>
    <row r="16" spans="1:3" ht="16.2" thickBot="1" x14ac:dyDescent="0.3">
      <c r="A16" s="82" t="s">
        <v>92</v>
      </c>
      <c r="B16" s="81" t="s">
        <v>91</v>
      </c>
      <c r="C16" s="80" t="s">
        <v>90</v>
      </c>
    </row>
    <row r="17" spans="1:8" ht="81.75" customHeight="1" x14ac:dyDescent="0.3">
      <c r="A17" s="79"/>
      <c r="B17" s="78" t="s">
        <v>89</v>
      </c>
      <c r="C17" s="77" t="s">
        <v>88</v>
      </c>
    </row>
    <row r="18" spans="1:8" ht="81.75" customHeight="1" thickBot="1" x14ac:dyDescent="0.35">
      <c r="A18" s="76"/>
      <c r="B18" s="75" t="s">
        <v>87</v>
      </c>
      <c r="C18" s="74">
        <v>94.108000000000004</v>
      </c>
    </row>
    <row r="20" spans="1:8" ht="14.4" thickBot="1" x14ac:dyDescent="0.3">
      <c r="A20" s="66" t="s">
        <v>86</v>
      </c>
      <c r="B20" s="65"/>
    </row>
    <row r="21" spans="1:8" ht="14.4" thickBot="1" x14ac:dyDescent="0.3">
      <c r="A21" s="66"/>
      <c r="B21" s="73" t="s">
        <v>85</v>
      </c>
      <c r="C21" s="73" t="s">
        <v>84</v>
      </c>
      <c r="D21" s="73" t="s">
        <v>83</v>
      </c>
    </row>
    <row r="22" spans="1:8" x14ac:dyDescent="0.25">
      <c r="A22" s="65" t="s">
        <v>82</v>
      </c>
      <c r="B22" s="72">
        <f>E34*G34/($B$12*(1+$B$13))</f>
        <v>0.9851492374329186</v>
      </c>
      <c r="C22" s="71">
        <f>SUMPRODUCT(E40:E42,G40:G42)/($C$12*(1+C13))</f>
        <v>2.8142782626162903</v>
      </c>
      <c r="D22" s="70">
        <f>AVERAGE(B22:C22)</f>
        <v>1.8997137500246044</v>
      </c>
      <c r="E22" s="41" t="s">
        <v>80</v>
      </c>
    </row>
    <row r="23" spans="1:8" ht="14.4" thickBot="1" x14ac:dyDescent="0.3">
      <c r="A23" s="65" t="s">
        <v>81</v>
      </c>
      <c r="B23" s="69">
        <f>(F34/(1+$B$13)^(3))/$B$12</f>
        <v>1.9411807634146181</v>
      </c>
      <c r="C23" s="68">
        <f>SUMPRODUCT(F40:F42,H40:H42)/$C$12</f>
        <v>10.768523839449475</v>
      </c>
      <c r="D23" s="67">
        <f>AVERAGE(B23:C23)</f>
        <v>6.3548523014320466</v>
      </c>
      <c r="E23" s="41" t="s">
        <v>80</v>
      </c>
    </row>
    <row r="24" spans="1:8" ht="14.4" thickBot="1" x14ac:dyDescent="0.3">
      <c r="A24" s="66"/>
      <c r="B24" s="65"/>
    </row>
    <row r="25" spans="1:8" ht="14.4" thickBot="1" x14ac:dyDescent="0.3">
      <c r="A25" s="41" t="s">
        <v>79</v>
      </c>
      <c r="D25" s="64">
        <f>ABS(B53/C18)</f>
        <v>200.0002612955912</v>
      </c>
      <c r="E25" s="41" t="s">
        <v>78</v>
      </c>
    </row>
    <row r="27" spans="1:8" s="63" customFormat="1" x14ac:dyDescent="0.25"/>
    <row r="28" spans="1:8" x14ac:dyDescent="0.25">
      <c r="A28" s="62"/>
      <c r="B28" s="62"/>
      <c r="C28" s="62"/>
      <c r="D28" s="62"/>
      <c r="E28" s="62"/>
      <c r="F28" s="62"/>
      <c r="G28" s="62"/>
      <c r="H28" s="62"/>
    </row>
    <row r="29" spans="1:8" s="42" customFormat="1" ht="14.4" x14ac:dyDescent="0.3">
      <c r="A29" s="43" t="s">
        <v>77</v>
      </c>
      <c r="B29" s="43"/>
      <c r="C29" s="43"/>
      <c r="D29" s="43"/>
      <c r="E29" s="43"/>
      <c r="F29" s="43"/>
      <c r="G29" s="43"/>
      <c r="H29" s="43"/>
    </row>
    <row r="30" spans="1:8" s="42" customFormat="1" ht="14.4" x14ac:dyDescent="0.3">
      <c r="A30" s="43"/>
      <c r="B30" s="43"/>
      <c r="C30" s="43"/>
      <c r="D30" s="43"/>
      <c r="E30" s="43"/>
      <c r="F30" s="43"/>
      <c r="G30" s="43"/>
      <c r="H30" s="43"/>
    </row>
    <row r="31" spans="1:8" s="42" customFormat="1" ht="14.4" x14ac:dyDescent="0.3">
      <c r="A31" s="60" t="s">
        <v>76</v>
      </c>
      <c r="B31" s="43"/>
      <c r="C31" s="43"/>
      <c r="D31" s="43"/>
      <c r="E31" s="43"/>
      <c r="F31" s="43"/>
      <c r="G31" s="43"/>
      <c r="H31" s="43"/>
    </row>
    <row r="32" spans="1:8" s="42" customFormat="1" ht="14.4" x14ac:dyDescent="0.3">
      <c r="A32" s="43"/>
      <c r="B32" s="43"/>
      <c r="C32" s="43"/>
      <c r="D32" s="43"/>
      <c r="E32" s="43"/>
      <c r="F32" s="43"/>
      <c r="G32" s="43"/>
      <c r="H32" s="43"/>
    </row>
    <row r="33" spans="1:15" s="42" customFormat="1" ht="42" x14ac:dyDescent="0.3">
      <c r="A33" s="59" t="s">
        <v>73</v>
      </c>
      <c r="B33" s="59" t="s">
        <v>72</v>
      </c>
      <c r="C33" s="59" t="s">
        <v>71</v>
      </c>
      <c r="D33" s="59" t="s">
        <v>70</v>
      </c>
      <c r="E33" s="58" t="s">
        <v>69</v>
      </c>
      <c r="F33" s="58" t="s">
        <v>68</v>
      </c>
      <c r="G33" s="58" t="s">
        <v>75</v>
      </c>
      <c r="H33" s="43"/>
    </row>
    <row r="34" spans="1:15" s="42" customFormat="1" ht="14.4" x14ac:dyDescent="0.3">
      <c r="A34" s="55">
        <v>1</v>
      </c>
      <c r="B34" s="55">
        <f>B11*B14</f>
        <v>20</v>
      </c>
      <c r="C34" s="55">
        <f>B14</f>
        <v>1000</v>
      </c>
      <c r="D34" s="55">
        <f>B34+C34</f>
        <v>1020</v>
      </c>
      <c r="E34" s="55">
        <f>D34*A34</f>
        <v>1020</v>
      </c>
      <c r="F34" s="55">
        <f>($A34^2 + $A34)*D34</f>
        <v>2040</v>
      </c>
      <c r="G34" s="54">
        <f>1/(1+$B$13)^($A34)</f>
        <v>0.98522167487684742</v>
      </c>
      <c r="H34" s="43"/>
      <c r="I34" s="53"/>
      <c r="K34" s="52"/>
    </row>
    <row r="35" spans="1:15" s="42" customFormat="1" ht="14.4" x14ac:dyDescent="0.3">
      <c r="A35" s="61"/>
      <c r="B35" s="43"/>
      <c r="C35" s="43"/>
      <c r="D35" s="43"/>
      <c r="E35" s="43"/>
      <c r="F35" s="43"/>
      <c r="G35" s="43"/>
      <c r="H35" s="43"/>
    </row>
    <row r="36" spans="1:15" s="42" customFormat="1" ht="14.4" x14ac:dyDescent="0.3">
      <c r="A36" s="61"/>
      <c r="B36" s="43"/>
      <c r="C36" s="43"/>
      <c r="D36" s="43"/>
      <c r="E36" s="43"/>
      <c r="F36" s="43"/>
      <c r="G36" s="43"/>
      <c r="H36" s="43"/>
    </row>
    <row r="37" spans="1:15" s="42" customFormat="1" ht="14.4" x14ac:dyDescent="0.3">
      <c r="A37" s="60" t="s">
        <v>74</v>
      </c>
      <c r="B37" s="43"/>
      <c r="C37" s="43"/>
      <c r="D37" s="43"/>
      <c r="E37" s="43"/>
      <c r="F37" s="43"/>
      <c r="G37" s="43"/>
      <c r="H37" s="43"/>
    </row>
    <row r="38" spans="1:15" s="42" customFormat="1" ht="14.4" x14ac:dyDescent="0.3">
      <c r="A38" s="43"/>
      <c r="B38" s="43"/>
      <c r="C38" s="43"/>
      <c r="D38" s="43"/>
      <c r="E38" s="43"/>
      <c r="F38" s="43"/>
      <c r="G38" s="43"/>
      <c r="H38" s="43"/>
    </row>
    <row r="39" spans="1:15" s="42" customFormat="1" ht="42" x14ac:dyDescent="0.3">
      <c r="A39" s="59" t="s">
        <v>73</v>
      </c>
      <c r="B39" s="59" t="s">
        <v>72</v>
      </c>
      <c r="C39" s="59" t="s">
        <v>71</v>
      </c>
      <c r="D39" s="59" t="s">
        <v>70</v>
      </c>
      <c r="E39" s="58" t="s">
        <v>69</v>
      </c>
      <c r="F39" s="58" t="s">
        <v>68</v>
      </c>
      <c r="G39" s="58" t="s">
        <v>67</v>
      </c>
      <c r="H39" s="58" t="s">
        <v>66</v>
      </c>
    </row>
    <row r="40" spans="1:15" s="42" customFormat="1" ht="14.4" x14ac:dyDescent="0.3">
      <c r="A40" s="55">
        <v>1</v>
      </c>
      <c r="B40" s="55">
        <f>$C$11*$C$14</f>
        <v>30</v>
      </c>
      <c r="C40" s="55"/>
      <c r="D40" s="55">
        <f>B40+C40</f>
        <v>30</v>
      </c>
      <c r="E40" s="55">
        <f>D40*$A40</f>
        <v>30</v>
      </c>
      <c r="F40" s="55">
        <f>($A40^2 + $A40)*D40</f>
        <v>60</v>
      </c>
      <c r="G40" s="54">
        <f>1/(1+$C$13)^($A40)</f>
        <v>0.96618357487922713</v>
      </c>
      <c r="H40" s="54">
        <f>(1+$C$13)^(-$A40-2)</f>
        <v>0.90194270566802237</v>
      </c>
      <c r="J40" s="53"/>
      <c r="L40" s="52"/>
      <c r="N40" s="57"/>
      <c r="O40" s="56"/>
    </row>
    <row r="41" spans="1:15" s="42" customFormat="1" ht="14.4" x14ac:dyDescent="0.3">
      <c r="A41" s="55">
        <v>2</v>
      </c>
      <c r="B41" s="55">
        <f>$C$11*$C$14</f>
        <v>30</v>
      </c>
      <c r="C41" s="55"/>
      <c r="D41" s="55">
        <f>B41+C41</f>
        <v>30</v>
      </c>
      <c r="E41" s="55">
        <f>D41*$A41</f>
        <v>60</v>
      </c>
      <c r="F41" s="55">
        <f>($A41^2 + $A41)*D41</f>
        <v>180</v>
      </c>
      <c r="G41" s="54">
        <f>1/(1+$C$13)^($A41)</f>
        <v>0.93351070036640305</v>
      </c>
      <c r="H41" s="54">
        <f>(1+$C$13)^(-$A41-2)</f>
        <v>0.87144222769857238</v>
      </c>
      <c r="J41" s="53"/>
      <c r="L41" s="52"/>
      <c r="O41" s="56"/>
    </row>
    <row r="42" spans="1:15" s="42" customFormat="1" ht="14.4" x14ac:dyDescent="0.3">
      <c r="A42" s="55">
        <v>3</v>
      </c>
      <c r="B42" s="55">
        <f>$C$11*$C$14</f>
        <v>30</v>
      </c>
      <c r="C42" s="55">
        <f>C14</f>
        <v>1000</v>
      </c>
      <c r="D42" s="55">
        <f>B42+C42</f>
        <v>1030</v>
      </c>
      <c r="E42" s="55">
        <f>D42*$A42</f>
        <v>3090</v>
      </c>
      <c r="F42" s="55">
        <f>($A42^2 + $A42)*D42</f>
        <v>12360</v>
      </c>
      <c r="G42" s="54">
        <f>1/(1+$C$13)^($A42)</f>
        <v>0.90194270566802237</v>
      </c>
      <c r="H42" s="54">
        <f>(1+$C$13)^(-$A42-2)</f>
        <v>0.84197316685852419</v>
      </c>
      <c r="J42" s="53"/>
      <c r="L42" s="52"/>
    </row>
    <row r="43" spans="1:15" s="42" customFormat="1" ht="14.4" x14ac:dyDescent="0.3">
      <c r="A43" s="43"/>
      <c r="B43" s="43"/>
      <c r="C43" s="43"/>
      <c r="D43" s="43"/>
      <c r="E43" s="43"/>
      <c r="F43" s="43"/>
      <c r="G43" s="43"/>
      <c r="H43" s="43"/>
    </row>
    <row r="44" spans="1:15" s="42" customFormat="1" ht="14.4" x14ac:dyDescent="0.3">
      <c r="A44" s="43"/>
      <c r="B44" s="43"/>
      <c r="C44" s="43"/>
      <c r="D44" s="43"/>
      <c r="E44" s="43"/>
      <c r="F44" s="43"/>
      <c r="G44" s="43"/>
      <c r="H44" s="43"/>
    </row>
    <row r="45" spans="1:15" s="42" customFormat="1" ht="14.4" x14ac:dyDescent="0.3">
      <c r="A45" s="43" t="s">
        <v>65</v>
      </c>
      <c r="B45" s="43"/>
      <c r="C45" s="43"/>
      <c r="D45" s="43"/>
      <c r="E45" s="43"/>
      <c r="F45" s="43"/>
      <c r="G45" s="43"/>
      <c r="H45" s="43"/>
    </row>
    <row r="46" spans="1:15" s="42" customFormat="1" ht="14.4" x14ac:dyDescent="0.3">
      <c r="A46" s="47" t="s">
        <v>64</v>
      </c>
      <c r="B46" s="51">
        <v>100000000</v>
      </c>
      <c r="C46" s="43"/>
      <c r="D46" s="43"/>
      <c r="E46" s="43"/>
      <c r="F46" s="43"/>
      <c r="G46" s="43"/>
      <c r="H46" s="43"/>
    </row>
    <row r="47" spans="1:15" s="42" customFormat="1" ht="14.4" x14ac:dyDescent="0.3">
      <c r="A47" s="43"/>
      <c r="B47" s="43"/>
      <c r="C47" s="43"/>
      <c r="D47" s="43"/>
      <c r="E47" s="43"/>
      <c r="F47" s="43"/>
      <c r="G47" s="43"/>
      <c r="H47" s="43"/>
    </row>
    <row r="48" spans="1:15" s="42" customFormat="1" ht="23.25" customHeight="1" x14ac:dyDescent="0.3">
      <c r="A48" s="47" t="s">
        <v>63</v>
      </c>
      <c r="B48" s="50">
        <f>1/10000</f>
        <v>1E-4</v>
      </c>
      <c r="C48" s="43"/>
      <c r="D48" s="43"/>
      <c r="E48" s="43"/>
      <c r="F48" s="43"/>
      <c r="G48" s="43"/>
      <c r="H48" s="43"/>
    </row>
    <row r="49" spans="1:8" s="42" customFormat="1" ht="23.25" customHeight="1" x14ac:dyDescent="0.3">
      <c r="A49" s="47" t="s">
        <v>62</v>
      </c>
      <c r="B49" s="49">
        <f>-B12*(B22*B48-0.5*B23*B48^2)</f>
        <v>-9.8997743928672166E-2</v>
      </c>
      <c r="C49" s="43"/>
      <c r="D49" s="43"/>
      <c r="E49" s="43"/>
      <c r="F49" s="43"/>
      <c r="G49" s="43"/>
      <c r="H49" s="43"/>
    </row>
    <row r="50" spans="1:8" s="42" customFormat="1" ht="24" customHeight="1" x14ac:dyDescent="0.3">
      <c r="A50" s="47" t="s">
        <v>61</v>
      </c>
      <c r="B50" s="49">
        <f>-C12*(C22*B48-0.5*C23*B48^2)</f>
        <v>-0.27743474787143774</v>
      </c>
      <c r="C50" s="43"/>
      <c r="D50" s="43"/>
      <c r="E50" s="43"/>
      <c r="F50" s="43"/>
      <c r="G50" s="43"/>
      <c r="H50" s="43"/>
    </row>
    <row r="51" spans="1:8" s="42" customFormat="1" ht="14.4" x14ac:dyDescent="0.3">
      <c r="A51" s="43"/>
      <c r="B51" s="43"/>
      <c r="C51" s="43"/>
      <c r="D51" s="43"/>
      <c r="E51" s="43"/>
      <c r="F51" s="43"/>
      <c r="G51" s="43"/>
      <c r="H51" s="43"/>
    </row>
    <row r="52" spans="1:8" s="42" customFormat="1" ht="14.4" x14ac:dyDescent="0.3">
      <c r="A52" s="47" t="s">
        <v>60</v>
      </c>
      <c r="B52" s="48">
        <f>0.5*(B49+B50)</f>
        <v>-0.18821624590005495</v>
      </c>
      <c r="C52" s="43"/>
      <c r="D52" s="43"/>
      <c r="E52" s="43"/>
      <c r="F52" s="43"/>
      <c r="G52" s="43"/>
      <c r="H52" s="43"/>
    </row>
    <row r="53" spans="1:8" s="42" customFormat="1" ht="14.4" x14ac:dyDescent="0.3">
      <c r="A53" s="47" t="s">
        <v>59</v>
      </c>
      <c r="B53" s="46">
        <f>B46/1000*B52</f>
        <v>-18821.624590005496</v>
      </c>
      <c r="C53" s="45"/>
      <c r="D53" s="44"/>
      <c r="E53" s="43"/>
      <c r="F53" s="43"/>
      <c r="G53" s="43"/>
      <c r="H53" s="4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2916-77FB-4325-B69D-F8BE47CAC27B}">
  <dimension ref="A1:G46"/>
  <sheetViews>
    <sheetView zoomScaleNormal="100" workbookViewId="0"/>
  </sheetViews>
  <sheetFormatPr defaultColWidth="9.109375" defaultRowHeight="13.8" x14ac:dyDescent="0.25"/>
  <cols>
    <col min="1" max="1" width="32" style="65" customWidth="1"/>
    <col min="2" max="2" width="21" style="65" customWidth="1"/>
    <col min="3" max="3" width="21.109375" style="65" customWidth="1"/>
    <col min="4" max="5" width="9.109375" style="65"/>
    <col min="6" max="6" width="10.44140625" style="65" bestFit="1" customWidth="1"/>
    <col min="7" max="16384" width="9.109375" style="65"/>
  </cols>
  <sheetData>
    <row r="1" spans="1:3" ht="15.6" x14ac:dyDescent="0.3">
      <c r="A1" s="114" t="s">
        <v>0</v>
      </c>
    </row>
    <row r="3" spans="1:3" x14ac:dyDescent="0.25">
      <c r="A3" s="113" t="s">
        <v>101</v>
      </c>
    </row>
    <row r="4" spans="1:3" x14ac:dyDescent="0.25">
      <c r="A4" s="113"/>
    </row>
    <row r="5" spans="1:3" x14ac:dyDescent="0.25">
      <c r="A5" s="113" t="s">
        <v>127</v>
      </c>
      <c r="B5" s="65" t="s">
        <v>126</v>
      </c>
    </row>
    <row r="7" spans="1:3" x14ac:dyDescent="0.25">
      <c r="A7" s="66" t="s">
        <v>125</v>
      </c>
    </row>
    <row r="8" spans="1:3" x14ac:dyDescent="0.25">
      <c r="A8" s="65" t="s">
        <v>124</v>
      </c>
      <c r="B8" s="112">
        <v>100000000</v>
      </c>
      <c r="C8" s="65" t="s">
        <v>123</v>
      </c>
    </row>
    <row r="9" spans="1:3" x14ac:dyDescent="0.25">
      <c r="A9" s="110" t="s">
        <v>122</v>
      </c>
      <c r="B9" s="111">
        <v>1.5</v>
      </c>
      <c r="C9" s="65" t="s">
        <v>119</v>
      </c>
    </row>
    <row r="10" spans="1:3" x14ac:dyDescent="0.25">
      <c r="A10" s="110" t="s">
        <v>121</v>
      </c>
      <c r="B10" s="111">
        <v>1.49</v>
      </c>
      <c r="C10" s="65" t="s">
        <v>119</v>
      </c>
    </row>
    <row r="11" spans="1:3" x14ac:dyDescent="0.25">
      <c r="A11" s="110" t="s">
        <v>120</v>
      </c>
      <c r="B11" s="111">
        <v>1.51</v>
      </c>
      <c r="C11" s="65" t="s">
        <v>119</v>
      </c>
    </row>
    <row r="12" spans="1:3" x14ac:dyDescent="0.25">
      <c r="A12" s="110"/>
    </row>
    <row r="13" spans="1:3" x14ac:dyDescent="0.25">
      <c r="A13" s="66" t="s">
        <v>118</v>
      </c>
    </row>
    <row r="14" spans="1:3" x14ac:dyDescent="0.25">
      <c r="A14" s="65" t="s">
        <v>117</v>
      </c>
      <c r="B14" s="65">
        <v>100</v>
      </c>
    </row>
    <row r="15" spans="1:3" x14ac:dyDescent="0.25">
      <c r="B15" s="65">
        <v>0.05</v>
      </c>
    </row>
    <row r="16" spans="1:3" x14ac:dyDescent="0.25">
      <c r="B16" s="65">
        <v>0.3</v>
      </c>
    </row>
    <row r="17" spans="1:7" x14ac:dyDescent="0.25">
      <c r="A17" s="65" t="s">
        <v>116</v>
      </c>
      <c r="B17" s="65">
        <v>0.05</v>
      </c>
      <c r="C17" s="65" t="s">
        <v>115</v>
      </c>
    </row>
    <row r="18" spans="1:7" ht="27.6" x14ac:dyDescent="0.25">
      <c r="A18" s="110" t="s">
        <v>114</v>
      </c>
      <c r="B18" s="65">
        <v>6.5000000000000002E-2</v>
      </c>
    </row>
    <row r="19" spans="1:7" ht="18.75" customHeight="1" x14ac:dyDescent="0.25">
      <c r="A19" s="146" t="s">
        <v>113</v>
      </c>
      <c r="B19" s="65">
        <v>8.0600000000000005E-2</v>
      </c>
      <c r="C19" s="65" t="s">
        <v>112</v>
      </c>
    </row>
    <row r="20" spans="1:7" x14ac:dyDescent="0.25">
      <c r="A20" s="146"/>
      <c r="B20" s="65">
        <v>7.5600000000000001E-2</v>
      </c>
      <c r="C20" s="65" t="s">
        <v>111</v>
      </c>
    </row>
    <row r="21" spans="1:7" x14ac:dyDescent="0.25">
      <c r="A21" s="110"/>
    </row>
    <row r="22" spans="1:7" x14ac:dyDescent="0.25">
      <c r="A22" s="66" t="s">
        <v>110</v>
      </c>
    </row>
    <row r="23" spans="1:7" x14ac:dyDescent="0.25">
      <c r="B23" s="109" t="s">
        <v>104</v>
      </c>
    </row>
    <row r="24" spans="1:7" x14ac:dyDescent="0.25">
      <c r="A24" s="108" t="s">
        <v>109</v>
      </c>
      <c r="B24" s="107">
        <f>(B19*99+B40)/100</f>
        <v>7.9794000000000004E-2</v>
      </c>
    </row>
    <row r="25" spans="1:7" x14ac:dyDescent="0.25">
      <c r="A25" s="108" t="s">
        <v>108</v>
      </c>
      <c r="B25" s="107">
        <f>(B20*99+B39)/100</f>
        <v>7.4990329466102054E-2</v>
      </c>
    </row>
    <row r="27" spans="1:7" s="106" customFormat="1" x14ac:dyDescent="0.25"/>
    <row r="29" spans="1:7" x14ac:dyDescent="0.25">
      <c r="A29" s="103" t="s">
        <v>107</v>
      </c>
      <c r="B29" s="43"/>
      <c r="D29" s="101"/>
      <c r="E29" s="104"/>
      <c r="F29" s="104"/>
      <c r="G29" s="104"/>
    </row>
    <row r="30" spans="1:7" x14ac:dyDescent="0.25">
      <c r="A30" s="43"/>
      <c r="B30" s="43"/>
      <c r="D30" s="101"/>
      <c r="E30" s="104"/>
      <c r="F30" s="104"/>
      <c r="G30" s="104"/>
    </row>
    <row r="31" spans="1:7" x14ac:dyDescent="0.25">
      <c r="A31" s="105" t="s">
        <v>73</v>
      </c>
      <c r="B31" s="105">
        <v>0.5</v>
      </c>
      <c r="D31" s="101"/>
      <c r="E31" s="104"/>
      <c r="F31" s="104"/>
      <c r="G31" s="104"/>
    </row>
    <row r="32" spans="1:7" x14ac:dyDescent="0.25">
      <c r="A32" s="43"/>
      <c r="B32" s="43"/>
      <c r="D32" s="101"/>
      <c r="E32" s="101"/>
      <c r="F32" s="101"/>
    </row>
    <row r="33" spans="1:6" x14ac:dyDescent="0.25">
      <c r="A33" s="43"/>
      <c r="B33" s="43"/>
      <c r="D33" s="101"/>
      <c r="E33" s="101"/>
      <c r="F33" s="101"/>
    </row>
    <row r="34" spans="1:6" x14ac:dyDescent="0.25">
      <c r="A34" s="43"/>
      <c r="B34" s="43"/>
      <c r="D34" s="101"/>
      <c r="E34" s="101"/>
      <c r="F34" s="101"/>
    </row>
    <row r="35" spans="1:6" x14ac:dyDescent="0.25">
      <c r="A35" s="50" t="s">
        <v>106</v>
      </c>
      <c r="B35" s="102">
        <f>B9*EXP((B15-B16^2/2)*B31+B16*SQRT(B31)*B18)</f>
        <v>1.5246329466102058</v>
      </c>
      <c r="D35" s="101"/>
      <c r="E35" s="101"/>
      <c r="F35" s="101"/>
    </row>
    <row r="36" spans="1:6" x14ac:dyDescent="0.25">
      <c r="A36" s="43"/>
      <c r="B36" s="43"/>
      <c r="D36" s="101"/>
      <c r="E36" s="101"/>
      <c r="F36" s="101"/>
    </row>
    <row r="37" spans="1:6" x14ac:dyDescent="0.25">
      <c r="A37" s="43"/>
      <c r="B37" s="43"/>
      <c r="D37" s="101"/>
      <c r="E37" s="101"/>
      <c r="F37" s="101"/>
    </row>
    <row r="38" spans="1:6" x14ac:dyDescent="0.25">
      <c r="A38" s="103" t="s">
        <v>105</v>
      </c>
      <c r="B38" s="59" t="s">
        <v>104</v>
      </c>
      <c r="D38" s="101"/>
      <c r="E38" s="101"/>
      <c r="F38" s="101"/>
    </row>
    <row r="39" spans="1:6" x14ac:dyDescent="0.25">
      <c r="A39" s="50" t="s">
        <v>103</v>
      </c>
      <c r="B39" s="102">
        <f>MAX(B35-B11,0)</f>
        <v>1.4632946610205755E-2</v>
      </c>
      <c r="D39" s="101"/>
      <c r="E39" s="101"/>
      <c r="F39" s="101"/>
    </row>
    <row r="40" spans="1:6" x14ac:dyDescent="0.25">
      <c r="A40" s="50" t="s">
        <v>102</v>
      </c>
      <c r="B40" s="102">
        <f>MAX(B10-B35,0)</f>
        <v>0</v>
      </c>
      <c r="D40" s="101"/>
      <c r="E40" s="101"/>
      <c r="F40" s="101"/>
    </row>
    <row r="45" spans="1:6" x14ac:dyDescent="0.25">
      <c r="A45" s="100"/>
    </row>
    <row r="46" spans="1:6" x14ac:dyDescent="0.25">
      <c r="A46" s="100"/>
    </row>
  </sheetData>
  <mergeCells count="1">
    <mergeCell ref="A19:A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D6AF1-E258-49FA-9F4B-5E491B030D95}">
  <dimension ref="A1:F24"/>
  <sheetViews>
    <sheetView zoomScale="120" zoomScaleNormal="120" workbookViewId="0"/>
  </sheetViews>
  <sheetFormatPr defaultColWidth="9.109375" defaultRowHeight="13.8" x14ac:dyDescent="0.25"/>
  <cols>
    <col min="1" max="1" width="22" style="115" customWidth="1"/>
    <col min="2" max="2" width="28.33203125" style="115" customWidth="1"/>
    <col min="3" max="3" width="26.6640625" style="115" customWidth="1"/>
    <col min="4" max="5" width="9.109375" style="115"/>
    <col min="6" max="6" width="10.44140625" style="115" bestFit="1" customWidth="1"/>
    <col min="7" max="16384" width="9.109375" style="115"/>
  </cols>
  <sheetData>
    <row r="1" spans="1:6" ht="15.6" x14ac:dyDescent="0.3">
      <c r="A1" s="131" t="s">
        <v>0</v>
      </c>
      <c r="C1" s="115" t="s">
        <v>142</v>
      </c>
    </row>
    <row r="3" spans="1:6" x14ac:dyDescent="0.25">
      <c r="A3" s="130" t="s">
        <v>141</v>
      </c>
    </row>
    <row r="4" spans="1:6" x14ac:dyDescent="0.25">
      <c r="A4" s="130"/>
    </row>
    <row r="5" spans="1:6" x14ac:dyDescent="0.25">
      <c r="A5" s="130" t="s">
        <v>80</v>
      </c>
      <c r="B5" s="115" t="s">
        <v>140</v>
      </c>
    </row>
    <row r="6" spans="1:6" x14ac:dyDescent="0.25">
      <c r="B6" s="115" t="s">
        <v>139</v>
      </c>
    </row>
    <row r="7" spans="1:6" ht="14.4" thickBot="1" x14ac:dyDescent="0.3"/>
    <row r="8" spans="1:6" ht="44.25" customHeight="1" x14ac:dyDescent="0.25">
      <c r="A8" s="129" t="s">
        <v>138</v>
      </c>
      <c r="B8" s="128" t="s">
        <v>137</v>
      </c>
      <c r="C8" s="127" t="s">
        <v>136</v>
      </c>
      <c r="D8" s="126" t="s">
        <v>135</v>
      </c>
      <c r="E8" s="126" t="s">
        <v>134</v>
      </c>
      <c r="F8" s="126" t="s">
        <v>133</v>
      </c>
    </row>
    <row r="9" spans="1:6" x14ac:dyDescent="0.25">
      <c r="A9" s="125">
        <v>1</v>
      </c>
      <c r="B9" s="14">
        <v>23150</v>
      </c>
      <c r="C9" s="15">
        <v>32410</v>
      </c>
      <c r="D9" s="122">
        <f>C9-B9</f>
        <v>9260</v>
      </c>
      <c r="E9" s="122">
        <f>$B$15*D9</f>
        <v>555.6</v>
      </c>
      <c r="F9" s="122">
        <f>E9*(1+$B$16)^-A9</f>
        <v>545.77603143418469</v>
      </c>
    </row>
    <row r="10" spans="1:6" x14ac:dyDescent="0.25">
      <c r="A10" s="125">
        <v>2</v>
      </c>
      <c r="B10" s="14">
        <v>17560</v>
      </c>
      <c r="C10" s="15">
        <v>23710</v>
      </c>
      <c r="D10" s="122">
        <f>C10-B10</f>
        <v>6150</v>
      </c>
      <c r="E10" s="122">
        <f>$B$15*D10</f>
        <v>369</v>
      </c>
      <c r="F10" s="122">
        <f>E10*(1+$B$16)^-A10</f>
        <v>356.06624955129865</v>
      </c>
    </row>
    <row r="11" spans="1:6" x14ac:dyDescent="0.25">
      <c r="A11" s="125">
        <v>3</v>
      </c>
      <c r="B11" s="14">
        <v>12510</v>
      </c>
      <c r="C11" s="15">
        <v>16260</v>
      </c>
      <c r="D11" s="122">
        <f>C11-B11</f>
        <v>3750</v>
      </c>
      <c r="E11" s="122">
        <f>$B$15*D11</f>
        <v>225</v>
      </c>
      <c r="F11" s="122">
        <f>E11*(1+$B$16)^-A11</f>
        <v>213.27462357521838</v>
      </c>
    </row>
    <row r="12" spans="1:6" x14ac:dyDescent="0.25">
      <c r="A12" s="125">
        <v>4</v>
      </c>
      <c r="B12" s="14">
        <v>8070</v>
      </c>
      <c r="C12" s="15">
        <v>10120</v>
      </c>
      <c r="D12" s="122">
        <f>C12-B12</f>
        <v>2050</v>
      </c>
      <c r="E12" s="122">
        <f>$B$15*D12</f>
        <v>123</v>
      </c>
      <c r="F12" s="122">
        <f>E12*(1+$B$16)^-A12</f>
        <v>114.52861252893194</v>
      </c>
    </row>
    <row r="13" spans="1:6" ht="14.4" thickBot="1" x14ac:dyDescent="0.3">
      <c r="A13" s="124">
        <v>5</v>
      </c>
      <c r="B13" s="18">
        <v>4250</v>
      </c>
      <c r="C13" s="20">
        <v>5100</v>
      </c>
      <c r="D13" s="122">
        <f>C13-B13</f>
        <v>850</v>
      </c>
      <c r="E13" s="122">
        <f>$B$15*D13</f>
        <v>51</v>
      </c>
      <c r="F13" s="122">
        <f>E13*(1+$B$16)^-A13</f>
        <v>46.647812856194427</v>
      </c>
    </row>
    <row r="14" spans="1:6" x14ac:dyDescent="0.25">
      <c r="A14" s="119"/>
      <c r="B14" s="118"/>
      <c r="C14" s="118"/>
      <c r="D14" s="123"/>
      <c r="E14" s="122"/>
      <c r="F14" s="121">
        <f>SUM(F9:F13)</f>
        <v>1276.293329945828</v>
      </c>
    </row>
    <row r="15" spans="1:6" x14ac:dyDescent="0.25">
      <c r="A15" s="119" t="s">
        <v>132</v>
      </c>
      <c r="B15" s="120">
        <v>0.06</v>
      </c>
      <c r="C15" s="118"/>
    </row>
    <row r="16" spans="1:6" x14ac:dyDescent="0.25">
      <c r="A16" s="119" t="s">
        <v>131</v>
      </c>
      <c r="B16" s="120">
        <v>1.7999999999999999E-2</v>
      </c>
      <c r="C16" s="118"/>
    </row>
    <row r="17" spans="1:3" x14ac:dyDescent="0.25">
      <c r="A17" s="119"/>
      <c r="B17" s="118"/>
      <c r="C17" s="118"/>
    </row>
    <row r="18" spans="1:3" ht="14.4" thickBot="1" x14ac:dyDescent="0.3">
      <c r="A18" s="117" t="s">
        <v>130</v>
      </c>
    </row>
    <row r="19" spans="1:3" ht="14.4" thickBot="1" x14ac:dyDescent="0.3">
      <c r="A19" s="115" t="s">
        <v>129</v>
      </c>
      <c r="C19" s="116">
        <f>F14</f>
        <v>1276.293329945828</v>
      </c>
    </row>
    <row r="24" spans="1:3" x14ac:dyDescent="0.25">
      <c r="C24" s="115" t="s">
        <v>128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536F-A670-460D-8FF7-8A149EECA33A}">
  <dimension ref="A1:G35"/>
  <sheetViews>
    <sheetView zoomScale="120" zoomScaleNormal="120" workbookViewId="0"/>
  </sheetViews>
  <sheetFormatPr defaultColWidth="9.109375" defaultRowHeight="13.8" x14ac:dyDescent="0.25"/>
  <cols>
    <col min="1" max="1" width="12.88671875" style="115" customWidth="1"/>
    <col min="2" max="2" width="18.33203125" style="115" customWidth="1"/>
    <col min="3" max="3" width="10.33203125" style="115" customWidth="1"/>
    <col min="4" max="5" width="9.109375" style="115"/>
    <col min="6" max="6" width="10.44140625" style="115" bestFit="1" customWidth="1"/>
    <col min="7" max="7" width="10.6640625" style="115" customWidth="1"/>
    <col min="8" max="16384" width="9.109375" style="115"/>
  </cols>
  <sheetData>
    <row r="1" spans="1:7" ht="15.6" x14ac:dyDescent="0.3">
      <c r="A1" s="131" t="s">
        <v>0</v>
      </c>
    </row>
    <row r="3" spans="1:7" x14ac:dyDescent="0.25">
      <c r="A3" s="130" t="s">
        <v>162</v>
      </c>
    </row>
    <row r="4" spans="1:7" x14ac:dyDescent="0.25">
      <c r="A4" s="130"/>
    </row>
    <row r="5" spans="1:7" x14ac:dyDescent="0.25">
      <c r="A5" s="130" t="s">
        <v>80</v>
      </c>
      <c r="B5" s="115" t="s">
        <v>161</v>
      </c>
    </row>
    <row r="6" spans="1:7" x14ac:dyDescent="0.25">
      <c r="A6" s="130" t="s">
        <v>78</v>
      </c>
      <c r="B6" s="115" t="s">
        <v>160</v>
      </c>
    </row>
    <row r="7" spans="1:7" ht="14.4" thickBot="1" x14ac:dyDescent="0.3"/>
    <row r="8" spans="1:7" ht="44.25" customHeight="1" x14ac:dyDescent="0.25">
      <c r="A8" s="145" t="s">
        <v>159</v>
      </c>
      <c r="B8" s="144" t="s">
        <v>158</v>
      </c>
    </row>
    <row r="9" spans="1:7" x14ac:dyDescent="0.25">
      <c r="A9" s="143" t="s">
        <v>145</v>
      </c>
      <c r="B9" s="142">
        <v>27</v>
      </c>
    </row>
    <row r="10" spans="1:7" x14ac:dyDescent="0.25">
      <c r="A10" s="143" t="s">
        <v>144</v>
      </c>
      <c r="B10" s="142">
        <v>15</v>
      </c>
    </row>
    <row r="11" spans="1:7" x14ac:dyDescent="0.25">
      <c r="A11" s="143" t="s">
        <v>148</v>
      </c>
      <c r="B11" s="142">
        <v>0</v>
      </c>
    </row>
    <row r="12" spans="1:7" ht="14.4" thickBot="1" x14ac:dyDescent="0.3">
      <c r="A12" s="141" t="s">
        <v>157</v>
      </c>
      <c r="B12" s="140">
        <v>42</v>
      </c>
    </row>
    <row r="13" spans="1:7" ht="14.4" thickBot="1" x14ac:dyDescent="0.3">
      <c r="A13" s="119"/>
      <c r="B13" s="118"/>
    </row>
    <row r="14" spans="1:7" ht="15.6" x14ac:dyDescent="0.25">
      <c r="A14" s="147" t="s">
        <v>156</v>
      </c>
      <c r="B14" s="148"/>
      <c r="C14" s="151" t="s">
        <v>155</v>
      </c>
      <c r="D14" s="151"/>
      <c r="E14" s="151"/>
      <c r="F14" s="151"/>
      <c r="G14" s="152"/>
    </row>
    <row r="15" spans="1:7" ht="31.2" x14ac:dyDescent="0.25">
      <c r="A15" s="149"/>
      <c r="B15" s="150"/>
      <c r="C15" s="138" t="s">
        <v>145</v>
      </c>
      <c r="D15" s="138" t="s">
        <v>144</v>
      </c>
      <c r="E15" s="138" t="s">
        <v>148</v>
      </c>
      <c r="F15" s="138" t="s">
        <v>154</v>
      </c>
      <c r="G15" s="139" t="s">
        <v>153</v>
      </c>
    </row>
    <row r="16" spans="1:7" ht="15.6" x14ac:dyDescent="0.25">
      <c r="A16" s="153" t="s">
        <v>152</v>
      </c>
      <c r="B16" s="138" t="s">
        <v>145</v>
      </c>
      <c r="C16" s="137">
        <v>85</v>
      </c>
      <c r="D16" s="137">
        <v>13</v>
      </c>
      <c r="E16" s="137">
        <v>2</v>
      </c>
      <c r="F16" s="137">
        <v>0</v>
      </c>
      <c r="G16" s="136">
        <v>0.4</v>
      </c>
    </row>
    <row r="17" spans="1:7" ht="15.6" x14ac:dyDescent="0.25">
      <c r="A17" s="153"/>
      <c r="B17" s="138" t="s">
        <v>144</v>
      </c>
      <c r="C17" s="137">
        <v>12</v>
      </c>
      <c r="D17" s="137">
        <v>82</v>
      </c>
      <c r="E17" s="137">
        <v>4</v>
      </c>
      <c r="F17" s="137">
        <v>2</v>
      </c>
      <c r="G17" s="136">
        <v>0.25</v>
      </c>
    </row>
    <row r="18" spans="1:7" ht="16.2" thickBot="1" x14ac:dyDescent="0.3">
      <c r="A18" s="154"/>
      <c r="B18" s="135" t="s">
        <v>148</v>
      </c>
      <c r="C18" s="134">
        <v>5</v>
      </c>
      <c r="D18" s="134">
        <v>10</v>
      </c>
      <c r="E18" s="134">
        <v>76</v>
      </c>
      <c r="F18" s="134">
        <v>9</v>
      </c>
      <c r="G18" s="133">
        <v>0.2</v>
      </c>
    </row>
    <row r="19" spans="1:7" x14ac:dyDescent="0.25">
      <c r="A19" s="119"/>
      <c r="B19" s="118"/>
      <c r="C19" s="118"/>
    </row>
    <row r="20" spans="1:7" ht="14.4" thickBot="1" x14ac:dyDescent="0.3">
      <c r="A20" s="117" t="s">
        <v>110</v>
      </c>
    </row>
    <row r="21" spans="1:7" ht="14.4" thickBot="1" x14ac:dyDescent="0.3">
      <c r="A21" s="115" t="s">
        <v>151</v>
      </c>
      <c r="F21" s="132">
        <f>C29</f>
        <v>0.22499999999999998</v>
      </c>
      <c r="G21" s="115" t="s">
        <v>80</v>
      </c>
    </row>
    <row r="22" spans="1:7" ht="14.4" thickBot="1" x14ac:dyDescent="0.3">
      <c r="A22" s="115" t="s">
        <v>150</v>
      </c>
      <c r="F22" s="132">
        <f>C35</f>
        <v>1.1400000000000001</v>
      </c>
      <c r="G22" s="115" t="s">
        <v>78</v>
      </c>
    </row>
    <row r="25" spans="1:7" x14ac:dyDescent="0.25">
      <c r="A25" s="115" t="s">
        <v>80</v>
      </c>
      <c r="B25" s="115" t="s">
        <v>149</v>
      </c>
    </row>
    <row r="26" spans="1:7" x14ac:dyDescent="0.25">
      <c r="B26" s="115" t="s">
        <v>145</v>
      </c>
      <c r="C26" s="115">
        <f>B9*F16/100*(1-G16)</f>
        <v>0</v>
      </c>
    </row>
    <row r="27" spans="1:7" x14ac:dyDescent="0.25">
      <c r="B27" s="115" t="s">
        <v>144</v>
      </c>
      <c r="C27" s="115">
        <f>B10*F17/100*(1-G17)</f>
        <v>0.22499999999999998</v>
      </c>
    </row>
    <row r="28" spans="1:7" x14ac:dyDescent="0.25">
      <c r="B28" s="115" t="s">
        <v>148</v>
      </c>
      <c r="C28" s="115">
        <f>B11*F18/100*(1-G18)</f>
        <v>0</v>
      </c>
    </row>
    <row r="29" spans="1:7" x14ac:dyDescent="0.25">
      <c r="B29" s="115" t="s">
        <v>143</v>
      </c>
      <c r="C29" s="115">
        <f>SUM(C26:C28)</f>
        <v>0.22499999999999998</v>
      </c>
    </row>
    <row r="31" spans="1:7" x14ac:dyDescent="0.25">
      <c r="A31" s="115" t="s">
        <v>78</v>
      </c>
      <c r="B31" s="115" t="s">
        <v>147</v>
      </c>
    </row>
    <row r="32" spans="1:7" x14ac:dyDescent="0.25">
      <c r="B32" s="115" t="s">
        <v>146</v>
      </c>
    </row>
    <row r="33" spans="2:3" x14ac:dyDescent="0.25">
      <c r="B33" s="115" t="s">
        <v>145</v>
      </c>
      <c r="C33" s="115">
        <f>B9*E16/100</f>
        <v>0.54</v>
      </c>
    </row>
    <row r="34" spans="2:3" x14ac:dyDescent="0.25">
      <c r="B34" s="115" t="s">
        <v>144</v>
      </c>
      <c r="C34" s="115">
        <f>B10*E17/100</f>
        <v>0.6</v>
      </c>
    </row>
    <row r="35" spans="2:3" x14ac:dyDescent="0.25">
      <c r="B35" s="115" t="s">
        <v>143</v>
      </c>
      <c r="C35" s="115">
        <f>SUM(C33:C34)</f>
        <v>1.1400000000000001</v>
      </c>
    </row>
  </sheetData>
  <mergeCells count="3">
    <mergeCell ref="A14:B15"/>
    <mergeCell ref="C14:G14"/>
    <mergeCell ref="A16:A1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D8076-4115-452F-B69A-F13CB3DD6DE7}">
  <dimension ref="A1:I77"/>
  <sheetViews>
    <sheetView workbookViewId="0"/>
  </sheetViews>
  <sheetFormatPr defaultRowHeight="14.4" x14ac:dyDescent="0.3"/>
  <cols>
    <col min="1" max="1" width="25.88671875" customWidth="1"/>
    <col min="2" max="2" width="19.109375" customWidth="1"/>
    <col min="3" max="3" width="22.5546875" customWidth="1"/>
    <col min="4" max="4" width="15.88671875" customWidth="1"/>
    <col min="7" max="7" width="14" customWidth="1"/>
  </cols>
  <sheetData>
    <row r="1" spans="1:4" ht="15.6" x14ac:dyDescent="0.3">
      <c r="A1" s="1" t="s">
        <v>0</v>
      </c>
      <c r="B1" s="2"/>
      <c r="C1" s="2"/>
      <c r="D1" s="2"/>
    </row>
    <row r="2" spans="1:4" x14ac:dyDescent="0.3">
      <c r="A2" s="2"/>
      <c r="B2" s="2"/>
      <c r="C2" s="2"/>
      <c r="D2" s="2"/>
    </row>
    <row r="3" spans="1:4" x14ac:dyDescent="0.3">
      <c r="A3" s="3" t="s">
        <v>1</v>
      </c>
      <c r="B3" s="2"/>
      <c r="C3" s="2"/>
      <c r="D3" s="2"/>
    </row>
    <row r="4" spans="1:4" x14ac:dyDescent="0.3">
      <c r="A4" s="2"/>
      <c r="B4" s="2"/>
      <c r="C4" s="2"/>
      <c r="D4" s="2"/>
    </row>
    <row r="5" spans="1:4" x14ac:dyDescent="0.3">
      <c r="A5" s="2" t="s">
        <v>2</v>
      </c>
      <c r="B5" s="2"/>
      <c r="C5" s="2"/>
      <c r="D5" s="2"/>
    </row>
    <row r="6" spans="1:4" x14ac:dyDescent="0.3">
      <c r="A6" s="2"/>
      <c r="B6" s="2"/>
      <c r="C6" s="2"/>
      <c r="D6" s="2"/>
    </row>
    <row r="7" spans="1:4" x14ac:dyDescent="0.3">
      <c r="A7" s="4" t="s">
        <v>3</v>
      </c>
      <c r="B7" s="2"/>
      <c r="C7" s="2"/>
      <c r="D7" s="2"/>
    </row>
    <row r="8" spans="1:4" x14ac:dyDescent="0.3">
      <c r="A8" s="4" t="s">
        <v>4</v>
      </c>
      <c r="B8" s="2"/>
      <c r="C8" s="2"/>
      <c r="D8" s="2"/>
    </row>
    <row r="9" spans="1:4" x14ac:dyDescent="0.3">
      <c r="A9" s="4" t="s">
        <v>5</v>
      </c>
      <c r="B9" s="2"/>
      <c r="C9" s="2"/>
      <c r="D9" s="2"/>
    </row>
    <row r="10" spans="1:4" x14ac:dyDescent="0.3">
      <c r="A10" s="4" t="s">
        <v>6</v>
      </c>
      <c r="B10" s="2"/>
      <c r="C10" s="2"/>
      <c r="D10" s="2"/>
    </row>
    <row r="11" spans="1:4" x14ac:dyDescent="0.3">
      <c r="A11" s="4" t="s">
        <v>7</v>
      </c>
      <c r="B11" s="2"/>
      <c r="C11" s="2"/>
      <c r="D11" s="2"/>
    </row>
    <row r="12" spans="1:4" x14ac:dyDescent="0.3">
      <c r="A12" s="2"/>
      <c r="B12" s="2"/>
      <c r="C12" s="2"/>
      <c r="D12" s="2"/>
    </row>
    <row r="13" spans="1:4" x14ac:dyDescent="0.3">
      <c r="A13" s="2" t="s">
        <v>8</v>
      </c>
      <c r="B13" s="2"/>
      <c r="C13" s="2"/>
      <c r="D13" s="2"/>
    </row>
    <row r="14" spans="1:4" ht="15" thickBot="1" x14ac:dyDescent="0.35">
      <c r="A14" s="2"/>
      <c r="B14" s="2"/>
      <c r="C14" s="2"/>
      <c r="D14" s="2"/>
    </row>
    <row r="15" spans="1:4" ht="15" thickBot="1" x14ac:dyDescent="0.35">
      <c r="A15" s="155" t="s">
        <v>9</v>
      </c>
      <c r="B15" s="156"/>
      <c r="C15" s="156"/>
      <c r="D15" s="157"/>
    </row>
    <row r="16" spans="1:4" ht="15" thickBot="1" x14ac:dyDescent="0.35">
      <c r="A16" s="5"/>
      <c r="B16" s="6" t="s">
        <v>10</v>
      </c>
      <c r="C16" s="7" t="s">
        <v>11</v>
      </c>
      <c r="D16" s="8" t="s">
        <v>12</v>
      </c>
    </row>
    <row r="17" spans="1:4" x14ac:dyDescent="0.3">
      <c r="A17" s="9" t="s">
        <v>13</v>
      </c>
      <c r="B17" s="10">
        <v>435</v>
      </c>
      <c r="C17" s="11">
        <v>1800</v>
      </c>
      <c r="D17" s="12">
        <v>980</v>
      </c>
    </row>
    <row r="18" spans="1:4" x14ac:dyDescent="0.3">
      <c r="A18" s="13" t="s">
        <v>14</v>
      </c>
      <c r="B18" s="14">
        <v>-2</v>
      </c>
      <c r="C18" s="14">
        <v>187</v>
      </c>
      <c r="D18" s="15">
        <v>-62</v>
      </c>
    </row>
    <row r="19" spans="1:4" x14ac:dyDescent="0.3">
      <c r="A19" s="13" t="s">
        <v>15</v>
      </c>
      <c r="B19" s="14">
        <v>631</v>
      </c>
      <c r="C19" s="16">
        <v>1727</v>
      </c>
      <c r="D19" s="15">
        <v>1082</v>
      </c>
    </row>
    <row r="20" spans="1:4" ht="15" thickBot="1" x14ac:dyDescent="0.35">
      <c r="A20" s="17" t="s">
        <v>16</v>
      </c>
      <c r="B20" s="18">
        <v>48</v>
      </c>
      <c r="C20" s="19">
        <v>215</v>
      </c>
      <c r="D20" s="20">
        <v>-60</v>
      </c>
    </row>
    <row r="21" spans="1:4" ht="15" thickBot="1" x14ac:dyDescent="0.35">
      <c r="A21" s="2"/>
      <c r="B21" s="2"/>
      <c r="C21" s="2"/>
      <c r="D21" s="2"/>
    </row>
    <row r="22" spans="1:4" ht="15" thickBot="1" x14ac:dyDescent="0.35">
      <c r="A22" s="155" t="s">
        <v>17</v>
      </c>
      <c r="B22" s="156"/>
      <c r="C22" s="156"/>
      <c r="D22" s="157"/>
    </row>
    <row r="23" spans="1:4" ht="15" thickBot="1" x14ac:dyDescent="0.35">
      <c r="A23" s="5"/>
      <c r="B23" s="6" t="s">
        <v>10</v>
      </c>
      <c r="C23" s="7" t="s">
        <v>11</v>
      </c>
      <c r="D23" s="8" t="s">
        <v>12</v>
      </c>
    </row>
    <row r="24" spans="1:4" x14ac:dyDescent="0.3">
      <c r="A24" s="9" t="s">
        <v>10</v>
      </c>
      <c r="B24" s="21">
        <v>1</v>
      </c>
      <c r="C24" s="22">
        <v>0.5</v>
      </c>
      <c r="D24" s="23">
        <v>0.2</v>
      </c>
    </row>
    <row r="25" spans="1:4" x14ac:dyDescent="0.3">
      <c r="A25" s="13" t="s">
        <v>11</v>
      </c>
      <c r="B25" s="24">
        <v>0.5</v>
      </c>
      <c r="C25" s="25">
        <v>1</v>
      </c>
      <c r="D25" s="26">
        <v>0.1</v>
      </c>
    </row>
    <row r="26" spans="1:4" ht="15" thickBot="1" x14ac:dyDescent="0.35">
      <c r="A26" s="17" t="s">
        <v>12</v>
      </c>
      <c r="B26" s="27">
        <v>0.2</v>
      </c>
      <c r="C26" s="28">
        <v>0.1</v>
      </c>
      <c r="D26" s="29">
        <v>1</v>
      </c>
    </row>
    <row r="27" spans="1:4" x14ac:dyDescent="0.3">
      <c r="A27" s="2"/>
      <c r="B27" s="2"/>
      <c r="C27" s="2"/>
      <c r="D27" s="2"/>
    </row>
    <row r="28" spans="1:4" x14ac:dyDescent="0.3">
      <c r="A28" s="30" t="s">
        <v>18</v>
      </c>
      <c r="B28" s="2"/>
      <c r="C28" s="2"/>
      <c r="D28" s="2"/>
    </row>
    <row r="29" spans="1:4" x14ac:dyDescent="0.3">
      <c r="A29" s="2"/>
      <c r="B29" s="2"/>
      <c r="C29" s="2"/>
      <c r="D29" s="2"/>
    </row>
    <row r="30" spans="1:4" x14ac:dyDescent="0.3">
      <c r="A30" s="2" t="s">
        <v>19</v>
      </c>
      <c r="B30" s="2" t="s">
        <v>20</v>
      </c>
      <c r="C30" s="2"/>
      <c r="D30" s="2"/>
    </row>
    <row r="32" spans="1:4" x14ac:dyDescent="0.3">
      <c r="A32" s="2" t="s">
        <v>21</v>
      </c>
      <c r="B32" s="2" t="s">
        <v>26</v>
      </c>
    </row>
    <row r="33" spans="1:9" ht="15" thickBot="1" x14ac:dyDescent="0.35"/>
    <row r="34" spans="1:9" ht="21.6" thickBot="1" x14ac:dyDescent="0.45">
      <c r="B34" s="31" t="s">
        <v>27</v>
      </c>
      <c r="I34" s="37">
        <f>(435*435+2*0.5*435*1800+2*0.2*435*980+1800*1800+2*0.1*1800*980+980*980)^0.5</f>
        <v>2386.6178998742134</v>
      </c>
    </row>
    <row r="37" spans="1:9" x14ac:dyDescent="0.3">
      <c r="A37" s="2" t="s">
        <v>22</v>
      </c>
      <c r="B37" s="2" t="s">
        <v>23</v>
      </c>
    </row>
    <row r="39" spans="1:9" x14ac:dyDescent="0.3">
      <c r="A39" s="2" t="s">
        <v>21</v>
      </c>
      <c r="B39" t="s">
        <v>28</v>
      </c>
    </row>
    <row r="40" spans="1:9" x14ac:dyDescent="0.3">
      <c r="A40" s="2"/>
    </row>
    <row r="41" spans="1:9" x14ac:dyDescent="0.3">
      <c r="A41" s="2"/>
      <c r="B41" s="32" t="s">
        <v>29</v>
      </c>
      <c r="C41" t="s">
        <v>37</v>
      </c>
    </row>
    <row r="42" spans="1:9" x14ac:dyDescent="0.3">
      <c r="A42" s="2"/>
    </row>
    <row r="43" spans="1:9" x14ac:dyDescent="0.3">
      <c r="A43" s="2"/>
      <c r="B43" t="s">
        <v>30</v>
      </c>
      <c r="C43" s="31" t="s">
        <v>32</v>
      </c>
      <c r="D43" s="34">
        <f>2386.62/3215*435</f>
        <v>322.91748055987557</v>
      </c>
    </row>
    <row r="44" spans="1:9" x14ac:dyDescent="0.3">
      <c r="A44" s="2"/>
      <c r="B44" t="s">
        <v>31</v>
      </c>
      <c r="C44" s="31" t="s">
        <v>33</v>
      </c>
      <c r="D44" s="34">
        <f>2386.62/3215*1800</f>
        <v>1336.210264385692</v>
      </c>
    </row>
    <row r="45" spans="1:9" x14ac:dyDescent="0.3">
      <c r="A45" s="2"/>
      <c r="B45" t="s">
        <v>46</v>
      </c>
      <c r="C45" s="31" t="s">
        <v>34</v>
      </c>
      <c r="D45" s="34">
        <f>2386.62/3215*980</f>
        <v>727.49225505443223</v>
      </c>
    </row>
    <row r="46" spans="1:9" x14ac:dyDescent="0.3">
      <c r="A46" s="2"/>
      <c r="C46" s="31"/>
      <c r="D46" s="33"/>
    </row>
    <row r="47" spans="1:9" x14ac:dyDescent="0.3">
      <c r="A47" s="2"/>
      <c r="B47" s="32" t="s">
        <v>35</v>
      </c>
      <c r="C47" s="31" t="s">
        <v>38</v>
      </c>
      <c r="D47" s="33"/>
    </row>
    <row r="48" spans="1:9" x14ac:dyDescent="0.3">
      <c r="A48" s="2"/>
      <c r="C48" s="31" t="s">
        <v>39</v>
      </c>
      <c r="D48" s="33"/>
    </row>
    <row r="49" spans="1:8" x14ac:dyDescent="0.3">
      <c r="A49" s="2"/>
      <c r="C49" s="31"/>
      <c r="D49" s="33"/>
    </row>
    <row r="50" spans="1:8" x14ac:dyDescent="0.3">
      <c r="A50" s="2"/>
      <c r="B50" t="s">
        <v>36</v>
      </c>
      <c r="C50" s="31"/>
      <c r="D50" s="33"/>
    </row>
    <row r="51" spans="1:8" x14ac:dyDescent="0.3">
      <c r="A51" s="2"/>
      <c r="C51" s="31" t="s">
        <v>10</v>
      </c>
      <c r="D51" s="33" t="s">
        <v>11</v>
      </c>
      <c r="E51" t="s">
        <v>12</v>
      </c>
    </row>
    <row r="52" spans="1:8" x14ac:dyDescent="0.3">
      <c r="A52" s="2"/>
      <c r="B52" t="s">
        <v>10</v>
      </c>
      <c r="C52" s="33"/>
      <c r="D52" s="33">
        <f>SQRT($B$17^2+2*C24*$B$17*$C$17+$C$17^2)</f>
        <v>2052.3705805726217</v>
      </c>
      <c r="E52" s="33">
        <f>SQRT($B$17^2+2*D24*$B$17*$D$17+$D$17^2)</f>
        <v>1148.9756307250384</v>
      </c>
      <c r="G52" t="s">
        <v>40</v>
      </c>
      <c r="H52" s="34">
        <f>AVERAGE(D52-D44,E52-D45)</f>
        <v>568.82184592876797</v>
      </c>
    </row>
    <row r="53" spans="1:8" x14ac:dyDescent="0.3">
      <c r="A53" s="2"/>
      <c r="B53" t="s">
        <v>11</v>
      </c>
      <c r="C53" s="33">
        <f>SQRT($B$17^2+2*B25*$B$17*$C$17+$C$17^2)</f>
        <v>2052.3705805726217</v>
      </c>
      <c r="D53" s="33"/>
      <c r="E53" s="33">
        <f>SQRT($C$17^2+2*D25*$C$17*$D$17+$D$17^2)</f>
        <v>2133.8228605017803</v>
      </c>
      <c r="G53" t="s">
        <v>41</v>
      </c>
      <c r="H53" s="34">
        <f>AVERAGE(C53-D43,E53-D45)</f>
        <v>1567.891852730047</v>
      </c>
    </row>
    <row r="54" spans="1:8" x14ac:dyDescent="0.3">
      <c r="A54" s="2"/>
      <c r="B54" t="s">
        <v>12</v>
      </c>
      <c r="C54" s="33">
        <f>SQRT($B$17^2+2*B26*$B$17*$D$17+$D$17^2)</f>
        <v>1148.9756307250384</v>
      </c>
      <c r="D54" s="33">
        <f>SQRT($C$17^2+2*C26*$C$17*$D$17+$D$17^2)</f>
        <v>2133.8228605017803</v>
      </c>
      <c r="G54" t="s">
        <v>42</v>
      </c>
      <c r="H54" s="34">
        <f>AVERAGE(C54-D43,D54-D44)</f>
        <v>811.83537314062551</v>
      </c>
    </row>
    <row r="55" spans="1:8" x14ac:dyDescent="0.3">
      <c r="A55" s="2"/>
      <c r="C55" s="31"/>
      <c r="D55" s="33"/>
    </row>
    <row r="56" spans="1:8" x14ac:dyDescent="0.3">
      <c r="A56" s="2"/>
      <c r="B56" s="32" t="s">
        <v>43</v>
      </c>
      <c r="C56" s="31" t="s">
        <v>44</v>
      </c>
      <c r="D56" s="33"/>
    </row>
    <row r="57" spans="1:8" x14ac:dyDescent="0.3">
      <c r="A57" s="2"/>
      <c r="C57" s="31" t="s">
        <v>45</v>
      </c>
      <c r="D57" s="33"/>
    </row>
    <row r="58" spans="1:8" x14ac:dyDescent="0.3">
      <c r="A58" s="2"/>
      <c r="C58" s="31"/>
      <c r="D58" s="33"/>
    </row>
    <row r="59" spans="1:8" x14ac:dyDescent="0.3">
      <c r="A59" s="2"/>
      <c r="B59" t="s">
        <v>47</v>
      </c>
      <c r="C59" s="34">
        <f>I34-E53</f>
        <v>252.79503937243317</v>
      </c>
      <c r="D59" s="33"/>
    </row>
    <row r="60" spans="1:8" x14ac:dyDescent="0.3">
      <c r="A60" s="2"/>
      <c r="B60" t="s">
        <v>48</v>
      </c>
      <c r="C60" s="34">
        <f>I34-E52</f>
        <v>1237.642269149175</v>
      </c>
      <c r="D60" s="33"/>
    </row>
    <row r="61" spans="1:8" x14ac:dyDescent="0.3">
      <c r="A61" s="2"/>
      <c r="B61" t="s">
        <v>49</v>
      </c>
      <c r="C61" s="34">
        <f>I34-D52</f>
        <v>334.24731930159169</v>
      </c>
      <c r="D61" s="33"/>
    </row>
    <row r="62" spans="1:8" x14ac:dyDescent="0.3">
      <c r="A62" s="2"/>
      <c r="C62" s="35"/>
      <c r="D62" s="33"/>
    </row>
    <row r="63" spans="1:8" ht="15" thickBot="1" x14ac:dyDescent="0.35">
      <c r="A63" s="2"/>
      <c r="B63" s="32" t="s">
        <v>50</v>
      </c>
      <c r="C63" s="35"/>
      <c r="D63" s="33"/>
    </row>
    <row r="64" spans="1:8" ht="21.6" thickBot="1" x14ac:dyDescent="0.45">
      <c r="A64" s="2"/>
      <c r="B64" t="s">
        <v>51</v>
      </c>
      <c r="C64" s="38">
        <f>AVERAGE(D43,H52,C59)</f>
        <v>381.51145528702563</v>
      </c>
      <c r="D64" s="33"/>
    </row>
    <row r="65" spans="1:4" ht="21.6" thickBot="1" x14ac:dyDescent="0.45">
      <c r="A65" s="2"/>
      <c r="B65" t="s">
        <v>52</v>
      </c>
      <c r="C65" s="39">
        <f t="shared" ref="C65:C66" si="0">AVERAGE(D44,H53,C60)</f>
        <v>1380.5814620883048</v>
      </c>
      <c r="D65" s="33"/>
    </row>
    <row r="66" spans="1:4" ht="21.6" thickBot="1" x14ac:dyDescent="0.45">
      <c r="A66" s="2"/>
      <c r="B66" t="s">
        <v>53</v>
      </c>
      <c r="C66" s="40">
        <f t="shared" si="0"/>
        <v>624.52498249888311</v>
      </c>
      <c r="D66" s="33"/>
    </row>
    <row r="67" spans="1:4" x14ac:dyDescent="0.3">
      <c r="A67" s="2"/>
      <c r="C67" s="35">
        <f>SUM(C64:C66)</f>
        <v>2386.6178998742134</v>
      </c>
      <c r="D67" s="33" t="s">
        <v>54</v>
      </c>
    </row>
    <row r="69" spans="1:4" x14ac:dyDescent="0.3">
      <c r="A69" s="2" t="s">
        <v>24</v>
      </c>
      <c r="B69" s="2" t="s">
        <v>25</v>
      </c>
    </row>
    <row r="71" spans="1:4" x14ac:dyDescent="0.3">
      <c r="A71" s="2" t="s">
        <v>21</v>
      </c>
      <c r="B71" t="s">
        <v>55</v>
      </c>
    </row>
    <row r="72" spans="1:4" x14ac:dyDescent="0.3">
      <c r="B72" t="s">
        <v>56</v>
      </c>
    </row>
    <row r="74" spans="1:4" ht="15" thickBot="1" x14ac:dyDescent="0.35">
      <c r="C74" t="s">
        <v>57</v>
      </c>
      <c r="D74" t="s">
        <v>58</v>
      </c>
    </row>
    <row r="75" spans="1:4" ht="21.6" thickBot="1" x14ac:dyDescent="0.45">
      <c r="B75" t="s">
        <v>10</v>
      </c>
      <c r="C75" s="36">
        <f>B20/B19</f>
        <v>7.6069730586370843E-2</v>
      </c>
      <c r="D75" s="36">
        <f>B18/C64</f>
        <v>-5.2423065475067417E-3</v>
      </c>
    </row>
    <row r="76" spans="1:4" ht="21.6" thickBot="1" x14ac:dyDescent="0.45">
      <c r="B76" t="s">
        <v>11</v>
      </c>
      <c r="C76" s="36">
        <f>C20/C19</f>
        <v>0.12449334105385061</v>
      </c>
      <c r="D76" s="36">
        <f>C18/C65</f>
        <v>0.13545017453525615</v>
      </c>
    </row>
    <row r="77" spans="1:4" ht="21.6" thickBot="1" x14ac:dyDescent="0.45">
      <c r="B77" t="s">
        <v>12</v>
      </c>
      <c r="C77" s="36">
        <f>D20/D19</f>
        <v>-5.545286506469501E-2</v>
      </c>
      <c r="D77" s="36">
        <f>D18/C66</f>
        <v>-9.9275452123503929E-2</v>
      </c>
    </row>
  </sheetData>
  <mergeCells count="2">
    <mergeCell ref="A15:D15"/>
    <mergeCell ref="A22:D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2(b)</vt:lpstr>
      <vt:lpstr>2(c)</vt:lpstr>
      <vt:lpstr>3(b)(i)</vt:lpstr>
      <vt:lpstr>4(b)(i)(ii)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Dulceak</dc:creator>
  <cp:lastModifiedBy>Administrator</cp:lastModifiedBy>
  <dcterms:created xsi:type="dcterms:W3CDTF">2020-12-22T00:48:17Z</dcterms:created>
  <dcterms:modified xsi:type="dcterms:W3CDTF">2021-01-19T17:50:24Z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4f6feb-bc60-48e1-9a65-8f26ae8b4956_Enabled">
    <vt:lpwstr>True</vt:lpwstr>
  </property>
  <property fmtid="{D5CDD505-2E9C-101B-9397-08002B2CF9AE}" pid="3" name="MSIP_Label_3b4f6feb-bc60-48e1-9a65-8f26ae8b4956_SiteId">
    <vt:lpwstr>3bea478c-1684-4a8c-8e85-045ec54ba430</vt:lpwstr>
  </property>
  <property fmtid="{D5CDD505-2E9C-101B-9397-08002B2CF9AE}" pid="4" name="MSIP_Label_3b4f6feb-bc60-48e1-9a65-8f26ae8b4956_Owner">
    <vt:lpwstr>Gifford.Nick@principal.com</vt:lpwstr>
  </property>
  <property fmtid="{D5CDD505-2E9C-101B-9397-08002B2CF9AE}" pid="5" name="MSIP_Label_3b4f6feb-bc60-48e1-9a65-8f26ae8b4956_SetDate">
    <vt:lpwstr>2020-12-23T18:30:07.3799151Z</vt:lpwstr>
  </property>
  <property fmtid="{D5CDD505-2E9C-101B-9397-08002B2CF9AE}" pid="6" name="MSIP_Label_3b4f6feb-bc60-48e1-9a65-8f26ae8b4956_Name">
    <vt:lpwstr>Public</vt:lpwstr>
  </property>
  <property fmtid="{D5CDD505-2E9C-101B-9397-08002B2CF9AE}" pid="7" name="MSIP_Label_3b4f6feb-bc60-48e1-9a65-8f26ae8b4956_Application">
    <vt:lpwstr>Microsoft Azure Information Protection</vt:lpwstr>
  </property>
  <property fmtid="{D5CDD505-2E9C-101B-9397-08002B2CF9AE}" pid="8" name="MSIP_Label_3b4f6feb-bc60-48e1-9a65-8f26ae8b4956_ActionId">
    <vt:lpwstr>88e7b6d1-b647-4f92-a1ba-9ad1d756dba3</vt:lpwstr>
  </property>
  <property fmtid="{D5CDD505-2E9C-101B-9397-08002B2CF9AE}" pid="9" name="MSIP_Label_3b4f6feb-bc60-48e1-9a65-8f26ae8b4956_Extended_MSFT_Method">
    <vt:lpwstr>Manual</vt:lpwstr>
  </property>
  <property fmtid="{D5CDD505-2E9C-101B-9397-08002B2CF9AE}" pid="10" name="MSIP_Label_af49516a-7525-4936-8880-b1dc1e580865_Enabled">
    <vt:lpwstr>True</vt:lpwstr>
  </property>
  <property fmtid="{D5CDD505-2E9C-101B-9397-08002B2CF9AE}" pid="11" name="MSIP_Label_af49516a-7525-4936-8880-b1dc1e580865_SiteId">
    <vt:lpwstr>3bea478c-1684-4a8c-8e85-045ec54ba430</vt:lpwstr>
  </property>
  <property fmtid="{D5CDD505-2E9C-101B-9397-08002B2CF9AE}" pid="12" name="MSIP_Label_af49516a-7525-4936-8880-b1dc1e580865_Owner">
    <vt:lpwstr>Gifford.Nick@principal.com</vt:lpwstr>
  </property>
  <property fmtid="{D5CDD505-2E9C-101B-9397-08002B2CF9AE}" pid="13" name="MSIP_Label_af49516a-7525-4936-8880-b1dc1e580865_SetDate">
    <vt:lpwstr>2020-12-23T18:30:07.3799151Z</vt:lpwstr>
  </property>
  <property fmtid="{D5CDD505-2E9C-101B-9397-08002B2CF9AE}" pid="14" name="MSIP_Label_af49516a-7525-4936-8880-b1dc1e580865_Name">
    <vt:lpwstr>Non-visible label</vt:lpwstr>
  </property>
  <property fmtid="{D5CDD505-2E9C-101B-9397-08002B2CF9AE}" pid="15" name="MSIP_Label_af49516a-7525-4936-8880-b1dc1e580865_Application">
    <vt:lpwstr>Microsoft Azure Information Protection</vt:lpwstr>
  </property>
  <property fmtid="{D5CDD505-2E9C-101B-9397-08002B2CF9AE}" pid="16" name="MSIP_Label_af49516a-7525-4936-8880-b1dc1e580865_ActionId">
    <vt:lpwstr>88e7b6d1-b647-4f92-a1ba-9ad1d756dba3</vt:lpwstr>
  </property>
  <property fmtid="{D5CDD505-2E9C-101B-9397-08002B2CF9AE}" pid="17" name="MSIP_Label_af49516a-7525-4936-8880-b1dc1e580865_Parent">
    <vt:lpwstr>3b4f6feb-bc60-48e1-9a65-8f26ae8b4956</vt:lpwstr>
  </property>
  <property fmtid="{D5CDD505-2E9C-101B-9397-08002B2CF9AE}" pid="18" name="MSIP_Label_af49516a-7525-4936-8880-b1dc1e580865_Extended_MSFT_Method">
    <vt:lpwstr>Manual</vt:lpwstr>
  </property>
  <property fmtid="{D5CDD505-2E9C-101B-9397-08002B2CF9AE}" pid="19" name="Sensitivity">
    <vt:lpwstr>Public Non-visible label</vt:lpwstr>
  </property>
</Properties>
</file>