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1"/>
  </bookViews>
  <sheets>
    <sheet name="Exercise 11.1" sheetId="1" r:id="rId1"/>
    <sheet name="Exercise 11.2" sheetId="2" r:id="rId2"/>
  </sheets>
  <definedNames/>
  <calcPr fullCalcOnLoad="1"/>
</workbook>
</file>

<file path=xl/sharedStrings.xml><?xml version="1.0" encoding="utf-8"?>
<sst xmlns="http://schemas.openxmlformats.org/spreadsheetml/2006/main" count="189" uniqueCount="132">
  <si>
    <t>Time</t>
  </si>
  <si>
    <t>part a</t>
  </si>
  <si>
    <t>int rate</t>
  </si>
  <si>
    <t>part b</t>
  </si>
  <si>
    <t>part c</t>
  </si>
  <si>
    <t>part d</t>
  </si>
  <si>
    <t>part e</t>
  </si>
  <si>
    <t>part f</t>
  </si>
  <si>
    <t>part g</t>
  </si>
  <si>
    <t>part i</t>
  </si>
  <si>
    <t xml:space="preserve">CASH FLOWS </t>
  </si>
  <si>
    <t>annual i</t>
  </si>
  <si>
    <t>(years)</t>
  </si>
  <si>
    <t>(semi-annual periods)</t>
  </si>
  <si>
    <t>(quarterly periods)</t>
  </si>
  <si>
    <t>ASSET A</t>
  </si>
  <si>
    <t>ASSET B</t>
  </si>
  <si>
    <t>coup rate</t>
  </si>
  <si>
    <t>par value</t>
  </si>
  <si>
    <t>1st L PMT</t>
  </si>
  <si>
    <t>2nd L PMT</t>
  </si>
  <si>
    <t>3rd L PMT</t>
  </si>
  <si>
    <t>Price of Asset A</t>
  </si>
  <si>
    <t>X for Asset B</t>
  </si>
  <si>
    <t>PV(10-year annuity-immed)</t>
  </si>
  <si>
    <t>Loan Amt.</t>
  </si>
  <si>
    <t>Price of Asset B</t>
  </si>
  <si>
    <t>(Solution by algebra/time-value-of-money)</t>
  </si>
  <si>
    <t>part a - 1st section</t>
  </si>
  <si>
    <t>part a - 2nd section</t>
  </si>
  <si>
    <t>Macaulay</t>
  </si>
  <si>
    <t>Duration</t>
  </si>
  <si>
    <t>DISCOUNTED CASH FLOWS</t>
  </si>
  <si>
    <t>(but both are much less than 30 years)</t>
  </si>
  <si>
    <t>Modified</t>
  </si>
  <si>
    <t>duration</t>
  </si>
  <si>
    <t>(volatility)</t>
  </si>
  <si>
    <t>part d (i)</t>
  </si>
  <si>
    <t>part d (ii)</t>
  </si>
  <si>
    <t>part d (iii)</t>
  </si>
  <si>
    <t>part d (iv)</t>
  </si>
  <si>
    <t>Appx.Price</t>
  </si>
  <si>
    <t>Using i=5%</t>
  </si>
  <si>
    <t>Using i=7%</t>
  </si>
  <si>
    <t>ExactPrice</t>
  </si>
  <si>
    <t>up interest rate</t>
  </si>
  <si>
    <t>down interest rate</t>
  </si>
  <si>
    <t>h (down)</t>
  </si>
  <si>
    <t>h(up)</t>
  </si>
  <si>
    <t>The % error in the estimates are:</t>
  </si>
  <si>
    <t>Ex: 1.31% = (13843.11-13662.14)/13843.11</t>
  </si>
  <si>
    <t>Effective</t>
  </si>
  <si>
    <t>13.36 is .12 years higher than 13.24</t>
  </si>
  <si>
    <t>Portfolio</t>
  </si>
  <si>
    <t>Convexity</t>
  </si>
  <si>
    <t>part h (i)</t>
  </si>
  <si>
    <t>part h (ii)</t>
  </si>
  <si>
    <t>convexity</t>
  </si>
  <si>
    <t>t+1</t>
  </si>
  <si>
    <t>(and both are greater than the squared duration)</t>
  </si>
  <si>
    <t>Ex: 0.11% = (13843.11-13828.23)/13843.11</t>
  </si>
  <si>
    <t>Note below that the error in the approximation</t>
  </si>
  <si>
    <t>improves when the convexity term is incorporated.</t>
  </si>
  <si>
    <t>276.94 is 1.60 units higher than 275.34</t>
  </si>
  <si>
    <t>Asset A1</t>
  </si>
  <si>
    <t>Liability L1</t>
  </si>
  <si>
    <t>Asset A2</t>
  </si>
  <si>
    <t>Asset A3</t>
  </si>
  <si>
    <t>Asset A4</t>
  </si>
  <si>
    <t>Asset A5</t>
  </si>
  <si>
    <t>Liability L2</t>
  </si>
  <si>
    <t>Liability L3</t>
  </si>
  <si>
    <t>Liability L4</t>
  </si>
  <si>
    <t>Liability L5</t>
  </si>
  <si>
    <t>X</t>
  </si>
  <si>
    <t>Y</t>
  </si>
  <si>
    <t>AssetTotal</t>
  </si>
  <si>
    <t>LiabTotal</t>
  </si>
  <si>
    <t>PV(Assets)</t>
  </si>
  <si>
    <t>PV(Liabs)</t>
  </si>
  <si>
    <t>X/(1.1)^2</t>
  </si>
  <si>
    <t>Y/(1.1)^4</t>
  </si>
  <si>
    <t>Dur(Assets)</t>
  </si>
  <si>
    <t>Dur(Liabs)</t>
  </si>
  <si>
    <t>DiscAssetT</t>
  </si>
  <si>
    <t>DiscLiabT</t>
  </si>
  <si>
    <t>2X/(1.1)^2</t>
  </si>
  <si>
    <t>4Y/(1.1)^4</t>
  </si>
  <si>
    <t>3057.63+X/(1.1)^2+Y/(1.1)^4=4085.84</t>
  </si>
  <si>
    <t>X/(1.1)^2+Y/(1.1)^4=1028.20</t>
  </si>
  <si>
    <t>1.9825+2X/[4085.84*(1.1)^2]+4Y/[4085.84*(1.1)^4]=2.8520</t>
  </si>
  <si>
    <t>2X/[4085.84*(1.1)^2]+4Y/[4085.84*(1.1)^4]=0.8695</t>
  </si>
  <si>
    <t>2X/(1.1)^2+4Y/(1.1)^4=3552.73</t>
  </si>
  <si>
    <t>2X/(1.1)^2+2Y/(1.1)^4=1028.20*2=2056.40</t>
  </si>
  <si>
    <t>2Y/(1.1)^4=1496.33</t>
  </si>
  <si>
    <t>Time+1</t>
  </si>
  <si>
    <t>Cnv(Assets)</t>
  </si>
  <si>
    <t>Cnv(Liabs)</t>
  </si>
  <si>
    <t>Yes, all 3 conditions of Redington immunization hold since</t>
  </si>
  <si>
    <t>X(1+i)+Y(1+i)^-1=1800</t>
  </si>
  <si>
    <t>X-Y(1+i)^-2=0</t>
  </si>
  <si>
    <t>X=Y(1+i)^-2</t>
  </si>
  <si>
    <t>1800=2Y(1+i)^-1</t>
  </si>
  <si>
    <t>t</t>
  </si>
  <si>
    <t>1000(1+i)+Y(1+i)^(3-t)=1800</t>
  </si>
  <si>
    <t>1000+(3-t)Y(1+i)^(2-t)=0</t>
  </si>
  <si>
    <t>1000(3-t)+(3-t)Y(1+i)^(2-t)=1800*(3-t)/(1+i)</t>
  </si>
  <si>
    <t>1000(2-t)=1800(3-t)/1.1</t>
  </si>
  <si>
    <t>5400-2200=t(1800-1100)</t>
  </si>
  <si>
    <t>1000(1+i)^(3-t)+Y(1+i)^-1=1800</t>
  </si>
  <si>
    <t>(3-t)1000(1+i)^(2-t)-Y(1+i)^-2=0</t>
  </si>
  <si>
    <t>(3-t)1000(1+i)^(3-t)-Y(1+i)^-1=0</t>
  </si>
  <si>
    <t>(4-t)1000(1.1)^(3-t)=1800</t>
  </si>
  <si>
    <t>(1.1)^(3-t)=1.8/(4-t)</t>
  </si>
  <si>
    <t>Note: solution for t by Trial/Error</t>
  </si>
  <si>
    <t>We know from the theory that this solution must be unique</t>
  </si>
  <si>
    <t>part h</t>
  </si>
  <si>
    <t>N for A2</t>
  </si>
  <si>
    <t>N for A4</t>
  </si>
  <si>
    <t>N for A5</t>
  </si>
  <si>
    <t>N for A3</t>
  </si>
  <si>
    <t>N for A1</t>
  </si>
  <si>
    <t>part j</t>
  </si>
  <si>
    <t>250,000=10,000a(10)+Xa(10)v^10+2Xa(10)v^20</t>
  </si>
  <si>
    <t>ASSET B has higher Macaulay duration</t>
  </si>
  <si>
    <t>ASSET B has higher Modified duration</t>
  </si>
  <si>
    <t>1.31%, 1.44%, 1.40%, and 1.62%.</t>
  </si>
  <si>
    <t>15.02 is .11 years higher than 14.91</t>
  </si>
  <si>
    <t>ASSET B has higher convexity</t>
  </si>
  <si>
    <t>0.11%, -0.12%, 0.11%, and -0.13%.</t>
  </si>
  <si>
    <t>303.77 is 1.50 units higher than 302.27</t>
  </si>
  <si>
    <t>Convexity(Assets) = 10.84 &gt; Convexity(Liabilities) = 10.36.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</si>
</sst>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_);[Red]\(#,##0.0000\)"/>
    <numFmt numFmtId="166" formatCode="&quot;$&quot;#,##0.0000_);[Red]\(&quot;$&quot;#,##0.0000\)"/>
    <numFmt numFmtId="167" formatCode="0.0000000"/>
    <numFmt numFmtId="168" formatCode="0.0000"/>
    <numFmt numFmtId="169" formatCode="#,##0.0000"/>
    <numFmt numFmtId="170" formatCode="&quot;$&quot;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8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8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35" fillId="0" borderId="0" xfId="0" applyNumberFormat="1" applyFont="1" applyAlignment="1">
      <alignment/>
    </xf>
    <xf numFmtId="6" fontId="0" fillId="0" borderId="0" xfId="0" applyNumberFormat="1" applyAlignment="1">
      <alignment/>
    </xf>
    <xf numFmtId="6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40" fontId="35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2" fontId="35" fillId="0" borderId="0" xfId="0" applyNumberFormat="1" applyFont="1" applyAlignment="1">
      <alignment/>
    </xf>
    <xf numFmtId="38" fontId="18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5" fillId="0" borderId="0" xfId="0" applyFont="1" applyAlignment="1">
      <alignment horizontal="right"/>
    </xf>
    <xf numFmtId="3" fontId="36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35" fillId="0" borderId="0" xfId="0" applyNumberFormat="1" applyFont="1" applyAlignment="1">
      <alignment/>
    </xf>
    <xf numFmtId="169" fontId="35" fillId="0" borderId="0" xfId="0" applyNumberFormat="1" applyFont="1" applyAlignment="1">
      <alignment/>
    </xf>
    <xf numFmtId="170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O30" sqref="O30"/>
    </sheetView>
  </sheetViews>
  <sheetFormatPr defaultColWidth="9.140625" defaultRowHeight="15"/>
  <cols>
    <col min="1" max="1" width="7.7109375" style="0" customWidth="1"/>
    <col min="2" max="5" width="10.7109375" style="0" customWidth="1"/>
    <col min="6" max="6" width="7.7109375" style="0" customWidth="1"/>
    <col min="7" max="7" width="10.8515625" style="0" bestFit="1" customWidth="1"/>
    <col min="8" max="8" width="17.8515625" style="0" customWidth="1"/>
    <col min="9" max="9" width="11.57421875" style="0" customWidth="1"/>
    <col min="10" max="10" width="12.7109375" style="0" customWidth="1"/>
    <col min="11" max="11" width="10.7109375" style="0" customWidth="1"/>
    <col min="12" max="12" width="13.7109375" style="0" customWidth="1"/>
    <col min="13" max="13" width="6.140625" style="0" customWidth="1"/>
    <col min="14" max="14" width="5.7109375" style="0" customWidth="1"/>
    <col min="15" max="15" width="12.7109375" style="0" customWidth="1"/>
    <col min="16" max="16" width="10.7109375" style="0" customWidth="1"/>
    <col min="17" max="17" width="13.7109375" style="0" customWidth="1"/>
  </cols>
  <sheetData>
    <row r="1" spans="2:17" ht="15">
      <c r="B1" t="s">
        <v>10</v>
      </c>
      <c r="D1" t="s">
        <v>32</v>
      </c>
      <c r="J1" t="s">
        <v>15</v>
      </c>
      <c r="L1" t="s">
        <v>16</v>
      </c>
      <c r="O1" t="s">
        <v>15</v>
      </c>
      <c r="Q1" t="s">
        <v>16</v>
      </c>
    </row>
    <row r="2" spans="1:17" ht="15">
      <c r="A2" t="s">
        <v>0</v>
      </c>
      <c r="B2" t="s">
        <v>15</v>
      </c>
      <c r="C2" t="s">
        <v>16</v>
      </c>
      <c r="D2" t="s">
        <v>15</v>
      </c>
      <c r="E2" t="s">
        <v>16</v>
      </c>
      <c r="G2" t="s">
        <v>2</v>
      </c>
      <c r="H2" t="s">
        <v>46</v>
      </c>
      <c r="J2" t="s">
        <v>3</v>
      </c>
      <c r="L2" t="s">
        <v>3</v>
      </c>
      <c r="N2" t="s">
        <v>58</v>
      </c>
      <c r="O2" t="s">
        <v>8</v>
      </c>
      <c r="Q2" t="s">
        <v>8</v>
      </c>
    </row>
    <row r="3" spans="1:17" ht="15">
      <c r="A3">
        <v>0</v>
      </c>
      <c r="B3" s="10">
        <v>0</v>
      </c>
      <c r="C3" s="10">
        <v>0</v>
      </c>
      <c r="D3" s="10">
        <v>0</v>
      </c>
      <c r="E3" s="10">
        <v>0</v>
      </c>
      <c r="G3">
        <v>0.06</v>
      </c>
      <c r="H3" s="10">
        <v>0.05</v>
      </c>
      <c r="I3" s="2"/>
      <c r="J3" s="11">
        <f>SUMPRODUCT($A4:$A33,D4:D33)/SUM(D4:D33)</f>
        <v>14.034779701335255</v>
      </c>
      <c r="K3" s="5" t="s">
        <v>30</v>
      </c>
      <c r="L3" s="11">
        <f>SUMPRODUCT($A4:$A33,E4:E33)/SUM(E4:E33)</f>
        <v>15.80060398880427</v>
      </c>
      <c r="M3" s="11"/>
      <c r="N3" s="15">
        <f>A3+1</f>
        <v>1</v>
      </c>
      <c r="O3" s="11">
        <f>(SUMPRODUCT($A4:$A33,$N4:$N33,D4:D33)/SUM(D4:D33))/((1+$G3)^2)</f>
        <v>275.3386380483439</v>
      </c>
      <c r="P3" s="5" t="s">
        <v>54</v>
      </c>
      <c r="Q3" s="11">
        <f>(SUMPRODUCT($A4:$A33,$N4:$N33,E4:E33)/SUM(E4:E33))/((1+$G3)^2)</f>
        <v>302.2700001193203</v>
      </c>
    </row>
    <row r="4" spans="1:15" ht="15">
      <c r="A4">
        <f>A3+1</f>
        <v>1</v>
      </c>
      <c r="B4" s="10">
        <f aca="true" t="shared" si="0" ref="B4:B32">G$5*G$7</f>
        <v>750</v>
      </c>
      <c r="C4" s="10">
        <f>G21</f>
        <v>10000</v>
      </c>
      <c r="D4" s="10">
        <f>B4/(1+$G$3)^$A4</f>
        <v>707.5471698113207</v>
      </c>
      <c r="E4" s="10">
        <f>C4/(1+$G$3)^$A4</f>
        <v>9433.962264150943</v>
      </c>
      <c r="G4" t="s">
        <v>17</v>
      </c>
      <c r="H4" t="s">
        <v>45</v>
      </c>
      <c r="J4" s="2"/>
      <c r="K4" t="s">
        <v>31</v>
      </c>
      <c r="N4" s="15">
        <f aca="true" t="shared" si="1" ref="N4:N33">A4+1</f>
        <v>2</v>
      </c>
      <c r="O4" s="2"/>
    </row>
    <row r="5" spans="1:17" ht="15">
      <c r="A5">
        <f aca="true" t="shared" si="2" ref="A5:A33">A4+1</f>
        <v>2</v>
      </c>
      <c r="B5" s="10">
        <f t="shared" si="0"/>
        <v>750</v>
      </c>
      <c r="C5" s="10">
        <f>C4</f>
        <v>10000</v>
      </c>
      <c r="D5" s="10">
        <f aca="true" t="shared" si="3" ref="D5:D33">B5/(1+$G$3)^$A5</f>
        <v>667.4973300106799</v>
      </c>
      <c r="E5" s="10">
        <f aca="true" t="shared" si="4" ref="E5:E33">C5/(1+$G$3)^$A5</f>
        <v>8899.964400142399</v>
      </c>
      <c r="G5">
        <v>0.075</v>
      </c>
      <c r="H5">
        <v>0.07</v>
      </c>
      <c r="I5" s="4"/>
      <c r="J5" s="12" t="s">
        <v>124</v>
      </c>
      <c r="K5" s="4"/>
      <c r="L5" s="4"/>
      <c r="M5" s="4"/>
      <c r="N5" s="15">
        <f t="shared" si="1"/>
        <v>3</v>
      </c>
      <c r="O5" s="12" t="s">
        <v>128</v>
      </c>
      <c r="P5" s="4"/>
      <c r="Q5" s="4"/>
    </row>
    <row r="6" spans="1:15" ht="15">
      <c r="A6">
        <f t="shared" si="2"/>
        <v>3</v>
      </c>
      <c r="B6" s="10">
        <f t="shared" si="0"/>
        <v>750</v>
      </c>
      <c r="C6" s="10">
        <f aca="true" t="shared" si="5" ref="C6:C13">C5</f>
        <v>10000</v>
      </c>
      <c r="D6" s="10">
        <f t="shared" si="3"/>
        <v>629.7144622742262</v>
      </c>
      <c r="E6" s="10">
        <f t="shared" si="4"/>
        <v>8396.192830323016</v>
      </c>
      <c r="G6" t="s">
        <v>18</v>
      </c>
      <c r="H6" t="s">
        <v>47</v>
      </c>
      <c r="J6" t="s">
        <v>33</v>
      </c>
      <c r="N6" s="15">
        <f t="shared" si="1"/>
        <v>4</v>
      </c>
      <c r="O6" t="s">
        <v>59</v>
      </c>
    </row>
    <row r="7" spans="1:14" ht="15">
      <c r="A7">
        <f t="shared" si="2"/>
        <v>4</v>
      </c>
      <c r="B7" s="10">
        <f t="shared" si="0"/>
        <v>750</v>
      </c>
      <c r="C7" s="10">
        <f t="shared" si="5"/>
        <v>10000</v>
      </c>
      <c r="D7" s="10">
        <f t="shared" si="3"/>
        <v>594.0702474285152</v>
      </c>
      <c r="E7" s="10">
        <f t="shared" si="4"/>
        <v>7920.936632380204</v>
      </c>
      <c r="G7" s="8">
        <v>10000</v>
      </c>
      <c r="H7" s="10">
        <f>H3-G3</f>
        <v>-0.009999999999999995</v>
      </c>
      <c r="N7" s="15">
        <f t="shared" si="1"/>
        <v>5</v>
      </c>
    </row>
    <row r="8" spans="1:18" ht="15">
      <c r="A8">
        <f t="shared" si="2"/>
        <v>5</v>
      </c>
      <c r="B8" s="10">
        <f t="shared" si="0"/>
        <v>750</v>
      </c>
      <c r="C8" s="10">
        <f t="shared" si="5"/>
        <v>10000</v>
      </c>
      <c r="D8" s="10">
        <f t="shared" si="3"/>
        <v>560.4436296495427</v>
      </c>
      <c r="E8" s="10">
        <f t="shared" si="4"/>
        <v>7472.581728660569</v>
      </c>
      <c r="H8" t="s">
        <v>48</v>
      </c>
      <c r="J8" t="s">
        <v>4</v>
      </c>
      <c r="K8" t="s">
        <v>34</v>
      </c>
      <c r="L8" t="s">
        <v>4</v>
      </c>
      <c r="N8" s="15">
        <f t="shared" si="1"/>
        <v>6</v>
      </c>
      <c r="P8" s="23">
        <f>(J18-O14)/J18</f>
        <v>0.0010749805837129906</v>
      </c>
      <c r="Q8" s="23"/>
      <c r="R8" s="23">
        <f>(L18-Q14)/L18</f>
        <v>0.0010755203349775723</v>
      </c>
    </row>
    <row r="9" spans="1:18" ht="15">
      <c r="A9">
        <f t="shared" si="2"/>
        <v>6</v>
      </c>
      <c r="B9" s="10">
        <f t="shared" si="0"/>
        <v>750</v>
      </c>
      <c r="C9" s="10">
        <f t="shared" si="5"/>
        <v>10000</v>
      </c>
      <c r="D9" s="10">
        <f t="shared" si="3"/>
        <v>528.7204053297572</v>
      </c>
      <c r="E9" s="10">
        <f t="shared" si="4"/>
        <v>7049.605404396762</v>
      </c>
      <c r="H9" s="10">
        <f>G3-H3</f>
        <v>0.009999999999999995</v>
      </c>
      <c r="J9" s="14">
        <f>J3/(1+$G3)</f>
        <v>13.240358208806844</v>
      </c>
      <c r="K9" t="s">
        <v>35</v>
      </c>
      <c r="L9" s="14">
        <f>L3/(1+$G3)</f>
        <v>14.906230178117234</v>
      </c>
      <c r="M9" s="14"/>
      <c r="N9" s="15">
        <f t="shared" si="1"/>
        <v>7</v>
      </c>
      <c r="O9" s="14"/>
      <c r="P9" s="23"/>
      <c r="Q9" s="7"/>
      <c r="R9" s="23"/>
    </row>
    <row r="10" spans="1:18" ht="15">
      <c r="A10">
        <f t="shared" si="2"/>
        <v>7</v>
      </c>
      <c r="B10" s="10">
        <f t="shared" si="0"/>
        <v>750</v>
      </c>
      <c r="C10" s="10">
        <f t="shared" si="5"/>
        <v>10000</v>
      </c>
      <c r="D10" s="10">
        <f t="shared" si="3"/>
        <v>498.792835216752</v>
      </c>
      <c r="E10" s="10">
        <f t="shared" si="4"/>
        <v>6650.571136223361</v>
      </c>
      <c r="K10" t="s">
        <v>36</v>
      </c>
      <c r="N10" s="15">
        <f t="shared" si="1"/>
        <v>8</v>
      </c>
      <c r="P10" s="23">
        <f>(J20-O16)/J20</f>
        <v>-0.0012197308449637837</v>
      </c>
      <c r="Q10" s="23"/>
      <c r="R10" s="23">
        <f>(L20-Q16)/L20</f>
        <v>-0.001275572583499993</v>
      </c>
    </row>
    <row r="11" spans="1:17" ht="15">
      <c r="A11">
        <f t="shared" si="2"/>
        <v>8</v>
      </c>
      <c r="B11" s="10">
        <f t="shared" si="0"/>
        <v>750</v>
      </c>
      <c r="C11" s="10">
        <f t="shared" si="5"/>
        <v>10000</v>
      </c>
      <c r="D11" s="10">
        <f t="shared" si="3"/>
        <v>470.5592785063699</v>
      </c>
      <c r="E11" s="10">
        <f t="shared" si="4"/>
        <v>6274.123713418265</v>
      </c>
      <c r="G11" t="s">
        <v>28</v>
      </c>
      <c r="I11" s="5"/>
      <c r="J11" s="12" t="s">
        <v>125</v>
      </c>
      <c r="K11" s="5"/>
      <c r="L11" s="5"/>
      <c r="M11" s="5"/>
      <c r="N11" s="15">
        <f t="shared" si="1"/>
        <v>9</v>
      </c>
      <c r="O11" s="12"/>
      <c r="P11" s="5"/>
      <c r="Q11" s="5"/>
    </row>
    <row r="12" spans="1:14" ht="15">
      <c r="A12">
        <f t="shared" si="2"/>
        <v>9</v>
      </c>
      <c r="B12" s="10">
        <f t="shared" si="0"/>
        <v>750</v>
      </c>
      <c r="C12" s="10">
        <f t="shared" si="5"/>
        <v>10000</v>
      </c>
      <c r="D12" s="10">
        <f t="shared" si="3"/>
        <v>443.92384764751876</v>
      </c>
      <c r="E12" s="10">
        <f t="shared" si="4"/>
        <v>5918.98463530025</v>
      </c>
      <c r="G12" s="2">
        <f>NPV(G3,B4:B33)</f>
        <v>12064.724672723401</v>
      </c>
      <c r="H12" t="s">
        <v>22</v>
      </c>
      <c r="N12" s="15">
        <f t="shared" si="1"/>
        <v>10</v>
      </c>
    </row>
    <row r="13" spans="1:17" ht="15">
      <c r="A13">
        <f t="shared" si="2"/>
        <v>10</v>
      </c>
      <c r="B13" s="10">
        <f t="shared" si="0"/>
        <v>750</v>
      </c>
      <c r="C13" s="10">
        <f t="shared" si="5"/>
        <v>10000</v>
      </c>
      <c r="D13" s="10">
        <f t="shared" si="3"/>
        <v>418.7960826863384</v>
      </c>
      <c r="E13" s="10">
        <f t="shared" si="4"/>
        <v>5583.947769151178</v>
      </c>
      <c r="I13" s="5"/>
      <c r="J13" s="5" t="s">
        <v>37</v>
      </c>
      <c r="K13" s="5" t="s">
        <v>41</v>
      </c>
      <c r="L13" s="5" t="s">
        <v>37</v>
      </c>
      <c r="M13" s="5"/>
      <c r="N13" s="15">
        <f t="shared" si="1"/>
        <v>11</v>
      </c>
      <c r="O13" s="5" t="s">
        <v>55</v>
      </c>
      <c r="P13" s="5" t="s">
        <v>41</v>
      </c>
      <c r="Q13" s="5" t="s">
        <v>55</v>
      </c>
    </row>
    <row r="14" spans="1:17" ht="15">
      <c r="A14">
        <f t="shared" si="2"/>
        <v>11</v>
      </c>
      <c r="B14" s="10">
        <f t="shared" si="0"/>
        <v>750</v>
      </c>
      <c r="C14" s="10">
        <f>G25</f>
        <v>20276.56833441291</v>
      </c>
      <c r="D14" s="10">
        <f t="shared" si="3"/>
        <v>395.09064404371543</v>
      </c>
      <c r="E14" s="10">
        <f t="shared" si="4"/>
        <v>10681.44325631947</v>
      </c>
      <c r="G14" t="s">
        <v>25</v>
      </c>
      <c r="H14" t="s">
        <v>26</v>
      </c>
      <c r="J14" s="4">
        <f>G12*(1-(H7*J9))</f>
        <v>13662.137436298279</v>
      </c>
      <c r="K14" t="s">
        <v>42</v>
      </c>
      <c r="L14" s="4">
        <f>G15*(1-(H7*L9))</f>
        <v>287265.5754452931</v>
      </c>
      <c r="M14" s="4"/>
      <c r="N14" s="15">
        <f t="shared" si="1"/>
        <v>12</v>
      </c>
      <c r="O14" s="4">
        <f>G12*(1-(H7*J9)+(0.5*O3*(H7)^2))</f>
        <v>13828.231679289074</v>
      </c>
      <c r="P14" t="s">
        <v>42</v>
      </c>
      <c r="Q14" s="4">
        <f>G15*(1-(H7*L9)+(0.5*Q3*(H7)^2))</f>
        <v>291043.95044678455</v>
      </c>
    </row>
    <row r="15" spans="1:17" ht="15">
      <c r="A15">
        <f t="shared" si="2"/>
        <v>12</v>
      </c>
      <c r="B15" s="10">
        <f t="shared" si="0"/>
        <v>750</v>
      </c>
      <c r="C15" s="10">
        <f aca="true" t="shared" si="6" ref="C15:C23">C14</f>
        <v>20276.56833441291</v>
      </c>
      <c r="D15" s="10">
        <f t="shared" si="3"/>
        <v>372.7270226827504</v>
      </c>
      <c r="E15" s="10">
        <f t="shared" si="4"/>
        <v>10076.833260678744</v>
      </c>
      <c r="G15" s="8">
        <v>250000</v>
      </c>
      <c r="H15" s="5">
        <f>NPV(G3,C4:C33)</f>
        <v>249999.99999999965</v>
      </c>
      <c r="I15" s="2"/>
      <c r="J15" s="5" t="s">
        <v>38</v>
      </c>
      <c r="K15" s="5" t="s">
        <v>41</v>
      </c>
      <c r="L15" s="5" t="s">
        <v>37</v>
      </c>
      <c r="M15" s="5"/>
      <c r="N15" s="15">
        <f t="shared" si="1"/>
        <v>13</v>
      </c>
      <c r="O15" s="5" t="s">
        <v>56</v>
      </c>
      <c r="P15" s="5" t="s">
        <v>41</v>
      </c>
      <c r="Q15" s="5" t="s">
        <v>56</v>
      </c>
    </row>
    <row r="16" spans="1:17" ht="15">
      <c r="A16">
        <f t="shared" si="2"/>
        <v>13</v>
      </c>
      <c r="B16" s="10">
        <f t="shared" si="0"/>
        <v>750</v>
      </c>
      <c r="C16" s="10">
        <f t="shared" si="6"/>
        <v>20276.56833441291</v>
      </c>
      <c r="D16" s="10">
        <f t="shared" si="3"/>
        <v>351.62926668183997</v>
      </c>
      <c r="E16" s="10">
        <f t="shared" si="4"/>
        <v>9506.446472338437</v>
      </c>
      <c r="J16" s="4">
        <f>G12*(1-(H9*J9))</f>
        <v>10467.311909148524</v>
      </c>
      <c r="K16" t="s">
        <v>43</v>
      </c>
      <c r="L16" s="2">
        <f>G15*(1-(H9*L9))</f>
        <v>212734.42455470693</v>
      </c>
      <c r="M16" s="2"/>
      <c r="N16" s="15">
        <f t="shared" si="1"/>
        <v>14</v>
      </c>
      <c r="O16" s="4">
        <f>G12*(1-(H9*J9)+(0.5*O3*(H9)^2))</f>
        <v>10633.40615213932</v>
      </c>
      <c r="P16" t="s">
        <v>43</v>
      </c>
      <c r="Q16" s="4">
        <f>G15*(1-(H9*L9)+(0.5*Q3*(H9)^2))</f>
        <v>216512.7995561984</v>
      </c>
    </row>
    <row r="17" spans="1:17" ht="15">
      <c r="A17">
        <f t="shared" si="2"/>
        <v>14</v>
      </c>
      <c r="B17" s="10">
        <f t="shared" si="0"/>
        <v>750</v>
      </c>
      <c r="C17" s="10">
        <f t="shared" si="6"/>
        <v>20276.56833441291</v>
      </c>
      <c r="D17" s="10">
        <f t="shared" si="3"/>
        <v>331.7257232847547</v>
      </c>
      <c r="E17" s="10">
        <f t="shared" si="4"/>
        <v>8968.345728621169</v>
      </c>
      <c r="G17" t="s">
        <v>24</v>
      </c>
      <c r="J17" s="5" t="s">
        <v>39</v>
      </c>
      <c r="K17" s="5" t="s">
        <v>44</v>
      </c>
      <c r="L17" s="5" t="s">
        <v>37</v>
      </c>
      <c r="M17" s="5"/>
      <c r="N17" s="15">
        <f t="shared" si="1"/>
        <v>15</v>
      </c>
      <c r="O17" s="5"/>
      <c r="P17" s="5"/>
      <c r="Q17" s="5"/>
    </row>
    <row r="18" spans="1:17" ht="15">
      <c r="A18">
        <f t="shared" si="2"/>
        <v>15</v>
      </c>
      <c r="B18" s="10">
        <f t="shared" si="0"/>
        <v>750</v>
      </c>
      <c r="C18" s="10">
        <f t="shared" si="6"/>
        <v>20276.56833441291</v>
      </c>
      <c r="D18" s="10">
        <f t="shared" si="3"/>
        <v>312.9487955516553</v>
      </c>
      <c r="E18" s="10">
        <f t="shared" si="4"/>
        <v>8460.703517567137</v>
      </c>
      <c r="G18">
        <f>(1-(1+G3)^-10)/G3</f>
        <v>7.360087051414703</v>
      </c>
      <c r="J18" s="2">
        <f>NPV(H3,B4:B33)</f>
        <v>13843.112756720699</v>
      </c>
      <c r="K18" t="s">
        <v>42</v>
      </c>
      <c r="L18" s="2">
        <f>NPV(H3,C4:C33)</f>
        <v>291357.3111596812</v>
      </c>
      <c r="M18" s="2"/>
      <c r="N18" s="15">
        <f t="shared" si="1"/>
        <v>16</v>
      </c>
      <c r="O18" s="2"/>
      <c r="Q18" s="2"/>
    </row>
    <row r="19" spans="1:17" ht="15">
      <c r="A19">
        <f t="shared" si="2"/>
        <v>16</v>
      </c>
      <c r="B19" s="10">
        <f t="shared" si="0"/>
        <v>750</v>
      </c>
      <c r="C19" s="10">
        <f t="shared" si="6"/>
        <v>20276.56833441291</v>
      </c>
      <c r="D19" s="10">
        <f t="shared" si="3"/>
        <v>295.2347127845805</v>
      </c>
      <c r="E19" s="10">
        <f t="shared" si="4"/>
        <v>7981.795771289754</v>
      </c>
      <c r="J19" s="5" t="s">
        <v>40</v>
      </c>
      <c r="K19" s="5" t="s">
        <v>44</v>
      </c>
      <c r="L19" s="5" t="s">
        <v>37</v>
      </c>
      <c r="M19" s="5"/>
      <c r="N19" s="15">
        <f t="shared" si="1"/>
        <v>17</v>
      </c>
      <c r="O19" s="5" t="s">
        <v>61</v>
      </c>
      <c r="P19" s="5"/>
      <c r="Q19" s="5"/>
    </row>
    <row r="20" spans="1:17" ht="15">
      <c r="A20">
        <f t="shared" si="2"/>
        <v>17</v>
      </c>
      <c r="B20" s="10">
        <f t="shared" si="0"/>
        <v>750</v>
      </c>
      <c r="C20" s="10">
        <f t="shared" si="6"/>
        <v>20276.56833441291</v>
      </c>
      <c r="D20" s="10">
        <f t="shared" si="3"/>
        <v>278.52331394771744</v>
      </c>
      <c r="E20" s="10">
        <f t="shared" si="4"/>
        <v>7529.996010650711</v>
      </c>
      <c r="G20" t="s">
        <v>19</v>
      </c>
      <c r="J20" s="2">
        <f>NPV(H5,B4:B33)</f>
        <v>10620.452059175284</v>
      </c>
      <c r="K20" t="s">
        <v>43</v>
      </c>
      <c r="L20" s="2">
        <f>NPV(H5,C4:C33)</f>
        <v>216236.9736011338</v>
      </c>
      <c r="M20" s="2"/>
      <c r="N20" s="15">
        <f t="shared" si="1"/>
        <v>18</v>
      </c>
      <c r="O20" s="5" t="s">
        <v>62</v>
      </c>
      <c r="Q20" s="2"/>
    </row>
    <row r="21" spans="1:16" ht="15">
      <c r="A21">
        <f t="shared" si="2"/>
        <v>18</v>
      </c>
      <c r="B21" s="10">
        <f t="shared" si="0"/>
        <v>750</v>
      </c>
      <c r="C21" s="10">
        <f t="shared" si="6"/>
        <v>20276.56833441291</v>
      </c>
      <c r="D21" s="10">
        <f t="shared" si="3"/>
        <v>262.75784334690326</v>
      </c>
      <c r="E21" s="10">
        <f t="shared" si="4"/>
        <v>7103.769821368595</v>
      </c>
      <c r="G21" s="8">
        <v>10000</v>
      </c>
      <c r="J21" s="1"/>
      <c r="K21" s="1"/>
      <c r="N21" s="15">
        <f t="shared" si="1"/>
        <v>19</v>
      </c>
      <c r="P21" s="1"/>
    </row>
    <row r="22" spans="1:16" ht="15">
      <c r="A22">
        <f t="shared" si="2"/>
        <v>19</v>
      </c>
      <c r="B22" s="10">
        <f t="shared" si="0"/>
        <v>750</v>
      </c>
      <c r="C22" s="10">
        <f t="shared" si="6"/>
        <v>20276.56833441291</v>
      </c>
      <c r="D22" s="10">
        <f t="shared" si="3"/>
        <v>247.88475787443699</v>
      </c>
      <c r="E22" s="10">
        <f t="shared" si="4"/>
        <v>6701.669642800561</v>
      </c>
      <c r="J22" s="5" t="s">
        <v>49</v>
      </c>
      <c r="K22" s="2"/>
      <c r="N22" s="15">
        <f t="shared" si="1"/>
        <v>20</v>
      </c>
      <c r="O22" s="5" t="s">
        <v>49</v>
      </c>
      <c r="P22" s="2"/>
    </row>
    <row r="23" spans="1:16" ht="15">
      <c r="A23">
        <f t="shared" si="2"/>
        <v>20</v>
      </c>
      <c r="B23" s="10">
        <f t="shared" si="0"/>
        <v>750</v>
      </c>
      <c r="C23" s="10">
        <f t="shared" si="6"/>
        <v>20276.56833441291</v>
      </c>
      <c r="D23" s="10">
        <f t="shared" si="3"/>
        <v>233.8535451645632</v>
      </c>
      <c r="E23" s="10">
        <f t="shared" si="4"/>
        <v>6322.329851698642</v>
      </c>
      <c r="G23" t="s">
        <v>29</v>
      </c>
      <c r="J23" s="2" t="s">
        <v>126</v>
      </c>
      <c r="K23" s="2"/>
      <c r="N23" s="15">
        <f t="shared" si="1"/>
        <v>21</v>
      </c>
      <c r="O23" s="2" t="s">
        <v>129</v>
      </c>
      <c r="P23" s="2"/>
    </row>
    <row r="24" spans="1:16" ht="15">
      <c r="A24">
        <f t="shared" si="2"/>
        <v>21</v>
      </c>
      <c r="B24" s="10">
        <f t="shared" si="0"/>
        <v>750</v>
      </c>
      <c r="C24" s="10">
        <f>G30</f>
        <v>40553.13666882582</v>
      </c>
      <c r="D24" s="10">
        <f t="shared" si="3"/>
        <v>220.61655204204072</v>
      </c>
      <c r="E24" s="10">
        <f t="shared" si="4"/>
        <v>11928.924248488001</v>
      </c>
      <c r="G24" t="s">
        <v>20</v>
      </c>
      <c r="J24" s="1" t="s">
        <v>50</v>
      </c>
      <c r="K24" s="1"/>
      <c r="N24" s="15">
        <f t="shared" si="1"/>
        <v>22</v>
      </c>
      <c r="O24" s="1" t="s">
        <v>60</v>
      </c>
      <c r="P24" s="1"/>
    </row>
    <row r="25" spans="1:16" ht="15">
      <c r="A25">
        <f t="shared" si="2"/>
        <v>22</v>
      </c>
      <c r="B25" s="10">
        <f t="shared" si="0"/>
        <v>750</v>
      </c>
      <c r="C25" s="10">
        <f aca="true" t="shared" si="7" ref="C25:C33">C24</f>
        <v>40553.13666882582</v>
      </c>
      <c r="D25" s="10">
        <f t="shared" si="3"/>
        <v>208.12882268117048</v>
      </c>
      <c r="E25" s="10">
        <f t="shared" si="4"/>
        <v>11253.702121215096</v>
      </c>
      <c r="G25" s="9">
        <f>(G15-(G21*G18))/(G18*(((1+G3)^-10)+(2*(1+G3)^-20)))</f>
        <v>20276.56833441291</v>
      </c>
      <c r="H25" t="s">
        <v>23</v>
      </c>
      <c r="J25" s="2"/>
      <c r="K25" s="2"/>
      <c r="N25" s="15">
        <f t="shared" si="1"/>
        <v>23</v>
      </c>
      <c r="O25" s="2"/>
      <c r="P25" s="2"/>
    </row>
    <row r="26" spans="1:17" ht="15">
      <c r="A26">
        <f t="shared" si="2"/>
        <v>23</v>
      </c>
      <c r="B26" s="10">
        <f t="shared" si="0"/>
        <v>750</v>
      </c>
      <c r="C26" s="10">
        <f t="shared" si="7"/>
        <v>40553.13666882582</v>
      </c>
      <c r="D26" s="10">
        <f t="shared" si="3"/>
        <v>196.3479459256325</v>
      </c>
      <c r="E26" s="10">
        <f t="shared" si="4"/>
        <v>10616.700114353862</v>
      </c>
      <c r="G26" t="s">
        <v>27</v>
      </c>
      <c r="J26" t="s">
        <v>6</v>
      </c>
      <c r="K26" t="s">
        <v>51</v>
      </c>
      <c r="L26" t="s">
        <v>6</v>
      </c>
      <c r="N26" s="15">
        <f t="shared" si="1"/>
        <v>24</v>
      </c>
      <c r="O26" t="s">
        <v>9</v>
      </c>
      <c r="P26" t="s">
        <v>51</v>
      </c>
      <c r="Q26" t="s">
        <v>9</v>
      </c>
    </row>
    <row r="27" spans="1:17" ht="15">
      <c r="A27">
        <f t="shared" si="2"/>
        <v>24</v>
      </c>
      <c r="B27" s="10">
        <f t="shared" si="0"/>
        <v>750</v>
      </c>
      <c r="C27" s="10">
        <f t="shared" si="7"/>
        <v>40553.13666882582</v>
      </c>
      <c r="D27" s="10">
        <f t="shared" si="3"/>
        <v>185.23391125059672</v>
      </c>
      <c r="E27" s="10">
        <f t="shared" si="4"/>
        <v>10015.754824862135</v>
      </c>
      <c r="G27" t="s">
        <v>123</v>
      </c>
      <c r="J27" s="11">
        <f>(J18-J20)/(2*$H9*G12)</f>
        <v>13.355715878172447</v>
      </c>
      <c r="K27" t="s">
        <v>35</v>
      </c>
      <c r="L27" s="11">
        <f>(L18-L20)/(2*$H9*G15)</f>
        <v>15.024067511709484</v>
      </c>
      <c r="M27" s="11"/>
      <c r="N27" s="15">
        <f t="shared" si="1"/>
        <v>25</v>
      </c>
      <c r="O27" s="11">
        <f>(J18-(2*G12)+J20)/(((H9)^2)*G12)</f>
        <v>276.9358435543641</v>
      </c>
      <c r="P27" t="s">
        <v>57</v>
      </c>
      <c r="Q27" s="11">
        <f>(L18-(2*G15)+L20)/(((H9)^2)*G15)</f>
        <v>303.7713904325993</v>
      </c>
    </row>
    <row r="28" spans="1:15" ht="15">
      <c r="A28">
        <f t="shared" si="2"/>
        <v>25</v>
      </c>
      <c r="B28" s="10">
        <f t="shared" si="0"/>
        <v>750</v>
      </c>
      <c r="C28" s="10">
        <f t="shared" si="7"/>
        <v>40553.13666882582</v>
      </c>
      <c r="D28" s="10">
        <f t="shared" si="3"/>
        <v>174.74897287792143</v>
      </c>
      <c r="E28" s="10">
        <f t="shared" si="4"/>
        <v>9448.825306473713</v>
      </c>
      <c r="J28" t="s">
        <v>52</v>
      </c>
      <c r="N28" s="15">
        <f t="shared" si="1"/>
        <v>26</v>
      </c>
      <c r="O28" t="s">
        <v>63</v>
      </c>
    </row>
    <row r="29" spans="1:15" ht="15">
      <c r="A29">
        <f t="shared" si="2"/>
        <v>26</v>
      </c>
      <c r="B29" s="10">
        <f t="shared" si="0"/>
        <v>750</v>
      </c>
      <c r="C29" s="10">
        <f t="shared" si="7"/>
        <v>40553.13666882582</v>
      </c>
      <c r="D29" s="10">
        <f t="shared" si="3"/>
        <v>164.85752158294474</v>
      </c>
      <c r="E29" s="10">
        <f t="shared" si="4"/>
        <v>8913.986138182747</v>
      </c>
      <c r="G29" t="s">
        <v>21</v>
      </c>
      <c r="J29" t="s">
        <v>127</v>
      </c>
      <c r="N29" s="15">
        <f t="shared" si="1"/>
        <v>27</v>
      </c>
      <c r="O29" t="s">
        <v>130</v>
      </c>
    </row>
    <row r="30" spans="1:14" ht="15">
      <c r="A30">
        <f t="shared" si="2"/>
        <v>27</v>
      </c>
      <c r="B30" s="10">
        <f t="shared" si="0"/>
        <v>750</v>
      </c>
      <c r="C30" s="10">
        <f t="shared" si="7"/>
        <v>40553.13666882582</v>
      </c>
      <c r="D30" s="10">
        <f t="shared" si="3"/>
        <v>155.52596375749502</v>
      </c>
      <c r="E30" s="10">
        <f t="shared" si="4"/>
        <v>8409.420885078061</v>
      </c>
      <c r="G30" s="8">
        <f>2*G25</f>
        <v>40553.13666882582</v>
      </c>
      <c r="N30" s="15">
        <f t="shared" si="1"/>
        <v>28</v>
      </c>
    </row>
    <row r="31" spans="1:17" ht="15">
      <c r="A31">
        <f t="shared" si="2"/>
        <v>28</v>
      </c>
      <c r="B31" s="10">
        <f t="shared" si="0"/>
        <v>750</v>
      </c>
      <c r="C31" s="10">
        <f t="shared" si="7"/>
        <v>40553.13666882582</v>
      </c>
      <c r="D31" s="10">
        <f t="shared" si="3"/>
        <v>146.7226073183915</v>
      </c>
      <c r="E31" s="10">
        <f t="shared" si="4"/>
        <v>7933.415929318927</v>
      </c>
      <c r="J31" s="12" t="s">
        <v>7</v>
      </c>
      <c r="K31" s="12" t="s">
        <v>53</v>
      </c>
      <c r="L31" s="12" t="s">
        <v>7</v>
      </c>
      <c r="M31" s="12"/>
      <c r="N31" s="15">
        <f t="shared" si="1"/>
        <v>29</v>
      </c>
      <c r="O31" s="12" t="s">
        <v>7</v>
      </c>
      <c r="P31" s="12" t="s">
        <v>53</v>
      </c>
      <c r="Q31" s="12" t="s">
        <v>7</v>
      </c>
    </row>
    <row r="32" spans="1:17" ht="15">
      <c r="A32">
        <f t="shared" si="2"/>
        <v>29</v>
      </c>
      <c r="B32" s="10">
        <f t="shared" si="0"/>
        <v>750</v>
      </c>
      <c r="C32" s="10">
        <f t="shared" si="7"/>
        <v>40553.13666882582</v>
      </c>
      <c r="D32" s="10">
        <f t="shared" si="3"/>
        <v>138.41755407395425</v>
      </c>
      <c r="E32" s="10">
        <f t="shared" si="4"/>
        <v>7484.354650300874</v>
      </c>
      <c r="J32" s="11">
        <f>(G12*J3+G15*L3)/(G12+G15)</f>
        <v>15.719310392822106</v>
      </c>
      <c r="K32" t="s">
        <v>31</v>
      </c>
      <c r="L32" s="11">
        <f>J32</f>
        <v>15.719310392822106</v>
      </c>
      <c r="M32" s="11"/>
      <c r="N32" s="15">
        <f t="shared" si="1"/>
        <v>30</v>
      </c>
      <c r="O32" s="11">
        <f>(G12*O3+G15*Q3)/(G12+G15)</f>
        <v>301.03015576845036</v>
      </c>
      <c r="P32" t="s">
        <v>54</v>
      </c>
      <c r="Q32" s="11">
        <f>O32</f>
        <v>301.03015576845036</v>
      </c>
    </row>
    <row r="33" spans="1:14" ht="15">
      <c r="A33">
        <f t="shared" si="2"/>
        <v>30</v>
      </c>
      <c r="B33" s="10">
        <f>(G$5*G$7)+G7</f>
        <v>10750</v>
      </c>
      <c r="C33" s="10">
        <f t="shared" si="7"/>
        <v>40553.13666882582</v>
      </c>
      <c r="D33" s="10">
        <f t="shared" si="3"/>
        <v>1871.6839072893185</v>
      </c>
      <c r="E33" s="10">
        <f t="shared" si="4"/>
        <v>7060.7119342461065</v>
      </c>
      <c r="N33" s="15">
        <f t="shared" si="1"/>
        <v>31</v>
      </c>
    </row>
    <row r="34" spans="4:5" ht="15">
      <c r="D34" s="10"/>
      <c r="E34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2" max="6" width="10.7109375" style="0" customWidth="1"/>
    <col min="7" max="7" width="11.7109375" style="0" customWidth="1"/>
    <col min="8" max="15" width="10.7109375" style="0" customWidth="1"/>
    <col min="17" max="17" width="10.8515625" style="0" bestFit="1" customWidth="1"/>
    <col min="18" max="18" width="11.57421875" style="0" bestFit="1" customWidth="1"/>
    <col min="19" max="19" width="12.57421875" style="0" bestFit="1" customWidth="1"/>
  </cols>
  <sheetData>
    <row r="1" ht="15">
      <c r="B1" t="s">
        <v>10</v>
      </c>
    </row>
    <row r="2" spans="1:15" ht="15">
      <c r="A2" t="s">
        <v>0</v>
      </c>
      <c r="B2" t="s">
        <v>64</v>
      </c>
      <c r="C2" t="s">
        <v>66</v>
      </c>
      <c r="D2" t="s">
        <v>67</v>
      </c>
      <c r="E2" t="s">
        <v>68</v>
      </c>
      <c r="F2" t="s">
        <v>69</v>
      </c>
      <c r="G2" t="s">
        <v>76</v>
      </c>
      <c r="H2" t="s">
        <v>84</v>
      </c>
      <c r="I2" t="s">
        <v>65</v>
      </c>
      <c r="J2" t="s">
        <v>70</v>
      </c>
      <c r="K2" t="s">
        <v>71</v>
      </c>
      <c r="L2" t="s">
        <v>72</v>
      </c>
      <c r="M2" t="s">
        <v>73</v>
      </c>
      <c r="N2" t="s">
        <v>77</v>
      </c>
      <c r="O2" t="s">
        <v>85</v>
      </c>
    </row>
    <row r="3" spans="1:17" ht="15">
      <c r="A3" t="s">
        <v>12</v>
      </c>
      <c r="C3" t="s">
        <v>13</v>
      </c>
      <c r="E3" t="s">
        <v>14</v>
      </c>
      <c r="Q3" t="s">
        <v>11</v>
      </c>
    </row>
    <row r="4" spans="1:19" ht="15">
      <c r="A4">
        <v>0</v>
      </c>
      <c r="B4" s="6">
        <v>0</v>
      </c>
      <c r="C4">
        <v>0</v>
      </c>
      <c r="D4" s="6">
        <v>0</v>
      </c>
      <c r="E4">
        <v>0</v>
      </c>
      <c r="F4" s="6">
        <v>0</v>
      </c>
      <c r="G4" s="6">
        <f aca="true" t="shared" si="0" ref="G4:G9">SUM(B4:F4)</f>
        <v>0</v>
      </c>
      <c r="H4" s="6">
        <v>0</v>
      </c>
      <c r="I4">
        <v>0</v>
      </c>
      <c r="J4" s="6">
        <v>0</v>
      </c>
      <c r="K4">
        <v>0</v>
      </c>
      <c r="L4" s="6">
        <v>0</v>
      </c>
      <c r="M4">
        <v>0</v>
      </c>
      <c r="N4" s="6">
        <f aca="true" t="shared" si="1" ref="N4:N9">SUM(I4:M4)</f>
        <v>0</v>
      </c>
      <c r="O4" s="6">
        <v>0</v>
      </c>
      <c r="Q4">
        <v>0.1</v>
      </c>
      <c r="R4" s="2"/>
      <c r="S4" s="2"/>
    </row>
    <row r="5" spans="1:15" ht="15">
      <c r="A5">
        <f>A4+1</f>
        <v>1</v>
      </c>
      <c r="B5">
        <v>1080</v>
      </c>
      <c r="C5">
        <v>0</v>
      </c>
      <c r="D5">
        <v>100</v>
      </c>
      <c r="E5">
        <v>0</v>
      </c>
      <c r="F5">
        <v>120</v>
      </c>
      <c r="G5" s="6">
        <f t="shared" si="0"/>
        <v>1300</v>
      </c>
      <c r="H5" s="6">
        <f>G5/(1+Q$4)^A5</f>
        <v>1181.8181818181818</v>
      </c>
      <c r="I5">
        <v>800</v>
      </c>
      <c r="J5">
        <v>0</v>
      </c>
      <c r="K5">
        <v>0</v>
      </c>
      <c r="L5">
        <v>0</v>
      </c>
      <c r="M5">
        <v>0</v>
      </c>
      <c r="N5" s="6">
        <f t="shared" si="1"/>
        <v>800</v>
      </c>
      <c r="O5" s="6">
        <f>N5/(1+Q$4)^A5</f>
        <v>727.2727272727273</v>
      </c>
    </row>
    <row r="6" spans="1:19" ht="15">
      <c r="A6">
        <f>A5+1</f>
        <v>2</v>
      </c>
      <c r="B6">
        <v>0</v>
      </c>
      <c r="C6" s="17" t="s">
        <v>74</v>
      </c>
      <c r="D6">
        <v>100</v>
      </c>
      <c r="E6">
        <v>0</v>
      </c>
      <c r="F6">
        <v>120</v>
      </c>
      <c r="G6" s="6">
        <f t="shared" si="0"/>
        <v>220</v>
      </c>
      <c r="H6" s="6">
        <f>G6/(1+Q$4)^A6</f>
        <v>181.81818181818178</v>
      </c>
      <c r="I6">
        <v>0</v>
      </c>
      <c r="J6">
        <v>1000</v>
      </c>
      <c r="K6">
        <v>0</v>
      </c>
      <c r="L6">
        <v>0</v>
      </c>
      <c r="M6">
        <v>0</v>
      </c>
      <c r="N6" s="6">
        <f t="shared" si="1"/>
        <v>1000</v>
      </c>
      <c r="O6" s="6">
        <f>N6/(1+Q$4)^A6</f>
        <v>826.4462809917354</v>
      </c>
      <c r="Q6" s="4"/>
      <c r="R6" s="4"/>
      <c r="S6" s="4"/>
    </row>
    <row r="7" spans="1:15" ht="15">
      <c r="A7">
        <f>A6+1</f>
        <v>3</v>
      </c>
      <c r="B7">
        <v>0</v>
      </c>
      <c r="C7">
        <v>0</v>
      </c>
      <c r="D7">
        <v>1100</v>
      </c>
      <c r="E7">
        <v>0</v>
      </c>
      <c r="F7">
        <v>120</v>
      </c>
      <c r="G7" s="6">
        <f t="shared" si="0"/>
        <v>1220</v>
      </c>
      <c r="H7" s="6">
        <f>G7/(1+Q$4)^A7</f>
        <v>916.6040570999246</v>
      </c>
      <c r="I7">
        <v>0</v>
      </c>
      <c r="J7">
        <v>0</v>
      </c>
      <c r="K7">
        <v>1800</v>
      </c>
      <c r="L7">
        <v>0</v>
      </c>
      <c r="M7">
        <v>0</v>
      </c>
      <c r="N7" s="6">
        <f t="shared" si="1"/>
        <v>1800</v>
      </c>
      <c r="O7" s="6">
        <f>N7/(1+Q$4)^A7</f>
        <v>1352.3666416228396</v>
      </c>
    </row>
    <row r="8" spans="1:15" ht="15">
      <c r="A8">
        <f>A7+1</f>
        <v>4</v>
      </c>
      <c r="B8">
        <v>0</v>
      </c>
      <c r="C8">
        <v>0</v>
      </c>
      <c r="D8">
        <v>0</v>
      </c>
      <c r="E8" s="17" t="s">
        <v>75</v>
      </c>
      <c r="F8">
        <v>120</v>
      </c>
      <c r="G8" s="6">
        <f t="shared" si="0"/>
        <v>120</v>
      </c>
      <c r="H8" s="6">
        <f>G8/(1+Q$4)^A8</f>
        <v>81.96161464380846</v>
      </c>
      <c r="I8">
        <v>0</v>
      </c>
      <c r="J8">
        <v>0</v>
      </c>
      <c r="K8">
        <v>0</v>
      </c>
      <c r="L8">
        <v>1000</v>
      </c>
      <c r="M8">
        <v>0</v>
      </c>
      <c r="N8" s="6">
        <f t="shared" si="1"/>
        <v>1000</v>
      </c>
      <c r="O8" s="6">
        <f>N8/(1+Q$4)^A8</f>
        <v>683.0134553650705</v>
      </c>
    </row>
    <row r="9" spans="1:15" ht="15">
      <c r="A9">
        <f>A8+1</f>
        <v>5</v>
      </c>
      <c r="B9">
        <v>0</v>
      </c>
      <c r="C9">
        <v>0</v>
      </c>
      <c r="D9">
        <v>0</v>
      </c>
      <c r="E9">
        <v>0</v>
      </c>
      <c r="F9">
        <v>1120</v>
      </c>
      <c r="G9" s="6">
        <f t="shared" si="0"/>
        <v>1120</v>
      </c>
      <c r="H9" s="6">
        <f>G9/(1+Q$4)^A9</f>
        <v>695.4318818262535</v>
      </c>
      <c r="I9">
        <v>0</v>
      </c>
      <c r="J9">
        <v>0</v>
      </c>
      <c r="K9">
        <v>0</v>
      </c>
      <c r="L9">
        <v>0</v>
      </c>
      <c r="M9">
        <v>800</v>
      </c>
      <c r="N9" s="6">
        <f t="shared" si="1"/>
        <v>800</v>
      </c>
      <c r="O9" s="6">
        <f>N9/(1+Q$4)^A9</f>
        <v>496.737058447324</v>
      </c>
    </row>
    <row r="10" spans="8:19" ht="15">
      <c r="H10" s="6"/>
      <c r="Q10" s="7"/>
      <c r="R10" s="7"/>
      <c r="S10" s="7"/>
    </row>
    <row r="11" spans="1:19" ht="15">
      <c r="A11" t="s">
        <v>1</v>
      </c>
      <c r="B11" t="s">
        <v>78</v>
      </c>
      <c r="C11" s="1">
        <f>NPV(Q4,G5:G9)</f>
        <v>3057.63391720635</v>
      </c>
      <c r="D11" t="s">
        <v>80</v>
      </c>
      <c r="E11" t="s">
        <v>81</v>
      </c>
      <c r="G11" t="s">
        <v>88</v>
      </c>
      <c r="L11" s="1">
        <f>C12-C11</f>
        <v>1028.2022464933466</v>
      </c>
      <c r="O11" s="6"/>
      <c r="Q11" s="5"/>
      <c r="R11" s="5"/>
      <c r="S11" s="5"/>
    </row>
    <row r="12" spans="2:7" ht="15">
      <c r="B12" t="s">
        <v>79</v>
      </c>
      <c r="C12" s="1">
        <f>NPV(Q4,N5:N9)</f>
        <v>4085.8361636996965</v>
      </c>
      <c r="G12" s="3" t="s">
        <v>89</v>
      </c>
    </row>
    <row r="13" spans="17:19" ht="15">
      <c r="Q13" s="2"/>
      <c r="R13" s="2"/>
      <c r="S13" s="2"/>
    </row>
    <row r="14" spans="1:7" ht="15">
      <c r="A14" t="s">
        <v>3</v>
      </c>
      <c r="B14" t="s">
        <v>82</v>
      </c>
      <c r="C14" s="16">
        <f>SUMPRODUCT(A5:A9,H5:H9)/C12</f>
        <v>1.982525059723902</v>
      </c>
      <c r="D14" t="s">
        <v>86</v>
      </c>
      <c r="E14" t="s">
        <v>87</v>
      </c>
      <c r="G14" t="s">
        <v>90</v>
      </c>
    </row>
    <row r="15" spans="2:12" ht="15">
      <c r="B15" t="s">
        <v>83</v>
      </c>
      <c r="C15" s="16">
        <f>SUMPRODUCT(A5:A9,O5:O9)/C12</f>
        <v>2.8520488489851497</v>
      </c>
      <c r="G15" t="s">
        <v>91</v>
      </c>
      <c r="L15" s="16">
        <f>C15-C14</f>
        <v>0.8695237892612477</v>
      </c>
    </row>
    <row r="16" spans="7:12" ht="15">
      <c r="G16" s="3" t="s">
        <v>92</v>
      </c>
      <c r="L16" s="1">
        <f>L15*C12</f>
        <v>3552.7317433608</v>
      </c>
    </row>
    <row r="18" spans="1:12" ht="15">
      <c r="A18" t="s">
        <v>4</v>
      </c>
      <c r="G18" s="13" t="s">
        <v>93</v>
      </c>
      <c r="L18" s="1">
        <f>L11*2</f>
        <v>2056.404492986693</v>
      </c>
    </row>
    <row r="19" spans="7:12" ht="15">
      <c r="G19" t="s">
        <v>94</v>
      </c>
      <c r="L19" s="1">
        <f>L16-L18</f>
        <v>1496.3272503741068</v>
      </c>
    </row>
    <row r="20" spans="7:14" ht="15">
      <c r="G20" t="s">
        <v>75</v>
      </c>
      <c r="H20" s="4">
        <f>L19*(1.1)^4/2</f>
        <v>1095.386363636365</v>
      </c>
      <c r="I20" t="s">
        <v>74</v>
      </c>
      <c r="J20" s="4">
        <f>(L11-(H20/(1.1)^4))*(1.1)^2</f>
        <v>338.84673178061496</v>
      </c>
      <c r="N20" s="1"/>
    </row>
    <row r="22" spans="1:8" ht="15">
      <c r="A22" t="s">
        <v>5</v>
      </c>
      <c r="B22" t="s">
        <v>0</v>
      </c>
      <c r="C22" t="s">
        <v>95</v>
      </c>
      <c r="D22" t="s">
        <v>84</v>
      </c>
      <c r="E22" t="s">
        <v>85</v>
      </c>
      <c r="G22" t="s">
        <v>96</v>
      </c>
      <c r="H22" s="14">
        <f>(SUMPRODUCT(B23:B27,C23:C27,D23:D27)/SUM(D23:D27))/((1+Q$4)^2)</f>
        <v>10.84162335878897</v>
      </c>
    </row>
    <row r="23" spans="2:8" ht="15">
      <c r="B23">
        <v>1</v>
      </c>
      <c r="C23">
        <v>2</v>
      </c>
      <c r="D23" s="6">
        <f>H5</f>
        <v>1181.8181818181818</v>
      </c>
      <c r="E23" s="6">
        <f>O5</f>
        <v>727.2727272727273</v>
      </c>
      <c r="G23" t="s">
        <v>97</v>
      </c>
      <c r="H23" s="14">
        <f>(SUMPRODUCT(B23:B27,C23:C27,E23:E27)/SUM(E23:E27))/((1+Q$4)^2)</f>
        <v>10.357086465259808</v>
      </c>
    </row>
    <row r="24" spans="2:8" ht="15">
      <c r="B24">
        <v>2</v>
      </c>
      <c r="C24">
        <v>3</v>
      </c>
      <c r="D24" s="18">
        <f>H6+J20/1.1^2</f>
        <v>461.85680312447505</v>
      </c>
      <c r="E24" s="6">
        <f>O6</f>
        <v>826.4462809917354</v>
      </c>
      <c r="F24" s="6"/>
      <c r="G24" s="6"/>
      <c r="H24" s="6"/>
    </row>
    <row r="25" spans="2:7" ht="15">
      <c r="B25">
        <v>3</v>
      </c>
      <c r="C25">
        <v>4</v>
      </c>
      <c r="D25" s="6">
        <f>H7</f>
        <v>916.6040570999246</v>
      </c>
      <c r="E25" s="6">
        <f>O7</f>
        <v>1352.3666416228396</v>
      </c>
      <c r="G25" s="3" t="s">
        <v>98</v>
      </c>
    </row>
    <row r="26" spans="2:7" ht="15">
      <c r="B26">
        <v>4</v>
      </c>
      <c r="C26">
        <v>5</v>
      </c>
      <c r="D26" s="18">
        <f>H8+H20/1.1^4</f>
        <v>830.1252398308618</v>
      </c>
      <c r="E26" s="6">
        <f>O8</f>
        <v>683.0134553650705</v>
      </c>
      <c r="G26" s="3" t="s">
        <v>131</v>
      </c>
    </row>
    <row r="27" spans="2:5" ht="15">
      <c r="B27">
        <v>5</v>
      </c>
      <c r="C27">
        <v>6</v>
      </c>
      <c r="D27" s="6">
        <f>H9</f>
        <v>695.4318818262535</v>
      </c>
      <c r="E27" s="6">
        <f>O9</f>
        <v>496.737058447324</v>
      </c>
    </row>
    <row r="29" spans="1:11" ht="15">
      <c r="A29" t="s">
        <v>6</v>
      </c>
      <c r="B29" t="s">
        <v>99</v>
      </c>
      <c r="E29" t="s">
        <v>7</v>
      </c>
      <c r="F29" t="s">
        <v>104</v>
      </c>
      <c r="J29" t="s">
        <v>8</v>
      </c>
      <c r="K29" t="s">
        <v>109</v>
      </c>
    </row>
    <row r="30" spans="2:11" ht="15">
      <c r="B30" t="s">
        <v>100</v>
      </c>
      <c r="F30" t="s">
        <v>105</v>
      </c>
      <c r="K30" t="s">
        <v>110</v>
      </c>
    </row>
    <row r="31" spans="2:11" ht="15">
      <c r="B31" t="s">
        <v>101</v>
      </c>
      <c r="F31" t="s">
        <v>106</v>
      </c>
      <c r="K31" t="s">
        <v>111</v>
      </c>
    </row>
    <row r="32" spans="2:11" ht="15">
      <c r="B32" t="s">
        <v>102</v>
      </c>
      <c r="F32" t="s">
        <v>107</v>
      </c>
      <c r="K32" t="s">
        <v>112</v>
      </c>
    </row>
    <row r="33" spans="6:11" ht="15">
      <c r="F33" t="s">
        <v>108</v>
      </c>
      <c r="K33" t="s">
        <v>113</v>
      </c>
    </row>
    <row r="34" spans="2:13" ht="15">
      <c r="B34" t="s">
        <v>75</v>
      </c>
      <c r="C34" s="4">
        <f>1800*(1.1)/2</f>
        <v>990.0000000000001</v>
      </c>
      <c r="F34" t="s">
        <v>103</v>
      </c>
      <c r="G34" s="14">
        <f>(5400-2200)/(1800-1100)</f>
        <v>4.571428571428571</v>
      </c>
      <c r="K34" t="s">
        <v>103</v>
      </c>
      <c r="L34" s="14">
        <v>2.313935</v>
      </c>
      <c r="M34" s="19">
        <f>(1.1)^(3-L34)-(1.8/(4-L34))</f>
        <v>-2.9333791506935825E-07</v>
      </c>
    </row>
    <row r="35" spans="2:12" ht="15">
      <c r="B35" t="s">
        <v>74</v>
      </c>
      <c r="C35" s="4">
        <f>C34/(1.1)^2</f>
        <v>818.1818181818181</v>
      </c>
      <c r="F35" t="s">
        <v>75</v>
      </c>
      <c r="G35" s="4">
        <f>(-1000/(3-G34))/(1.1)^(2-G34)</f>
        <v>813.0994889847993</v>
      </c>
      <c r="K35" t="s">
        <v>75</v>
      </c>
      <c r="L35" s="4">
        <f>(1800-1000*(1.1)^(3-L34))*1.1</f>
        <v>805.6683722427492</v>
      </c>
    </row>
    <row r="36" ht="15">
      <c r="J36" t="s">
        <v>114</v>
      </c>
    </row>
    <row r="37" ht="15">
      <c r="J37" t="s">
        <v>115</v>
      </c>
    </row>
    <row r="39" spans="1:12" ht="15">
      <c r="A39" t="s">
        <v>116</v>
      </c>
      <c r="B39" t="s">
        <v>118</v>
      </c>
      <c r="C39" s="20">
        <f>L8/H20</f>
        <v>0.912919891279539</v>
      </c>
      <c r="E39" t="s">
        <v>9</v>
      </c>
      <c r="F39" t="s">
        <v>120</v>
      </c>
      <c r="G39" s="20">
        <f>N7/D7</f>
        <v>1.6363636363636365</v>
      </c>
      <c r="J39" t="s">
        <v>122</v>
      </c>
      <c r="K39" t="s">
        <v>119</v>
      </c>
      <c r="L39" s="20">
        <f>N9/F9</f>
        <v>0.7142857142857143</v>
      </c>
    </row>
    <row r="40" spans="2:12" ht="15">
      <c r="B40" t="s">
        <v>117</v>
      </c>
      <c r="C40" s="20">
        <f>J6/J20</f>
        <v>2.9511867939379925</v>
      </c>
      <c r="F40" t="s">
        <v>117</v>
      </c>
      <c r="G40" s="21">
        <f>(N6-D6*G39)/J20</f>
        <v>2.468265318566321</v>
      </c>
      <c r="K40" t="s">
        <v>118</v>
      </c>
      <c r="L40" s="21">
        <f>(N8-F8*L39)/H20</f>
        <v>0.8346696148841499</v>
      </c>
    </row>
    <row r="41" spans="6:12" ht="15">
      <c r="F41" t="s">
        <v>121</v>
      </c>
      <c r="G41" s="21">
        <f>(N5-D5*G39)/B5</f>
        <v>0.5892255892255892</v>
      </c>
      <c r="K41" t="s">
        <v>120</v>
      </c>
      <c r="L41" s="21">
        <f>(N7-F7*L39)/D7</f>
        <v>1.5584415584415583</v>
      </c>
    </row>
    <row r="42" spans="11:12" ht="15">
      <c r="K42" t="s">
        <v>117</v>
      </c>
      <c r="L42" s="21">
        <f>(N6-F6*L39-D6*L41)/J20</f>
        <v>2.2383027112464773</v>
      </c>
    </row>
    <row r="43" spans="11:12" ht="15">
      <c r="K43" t="s">
        <v>121</v>
      </c>
      <c r="L43" s="21">
        <f>(N5-F5*L39-D5*L41)/B5</f>
        <v>0.517075517075517</v>
      </c>
    </row>
    <row r="46" ht="15">
      <c r="G46" s="22"/>
    </row>
    <row r="48" ht="15">
      <c r="G48" s="22"/>
    </row>
    <row r="49" ht="15">
      <c r="G49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000723590</dc:creator>
  <cp:keywords/>
  <dc:description/>
  <cp:lastModifiedBy>Stuart Klugman</cp:lastModifiedBy>
  <dcterms:created xsi:type="dcterms:W3CDTF">2011-02-16T02:17:42Z</dcterms:created>
  <dcterms:modified xsi:type="dcterms:W3CDTF">2012-04-16T15:45:36Z</dcterms:modified>
  <cp:category/>
  <cp:version/>
  <cp:contentType/>
  <cp:contentStatus/>
</cp:coreProperties>
</file>