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4"/>
  </bookViews>
  <sheets>
    <sheet name="Sheet1" sheetId="1" r:id="rId1"/>
    <sheet name="Sheet 2" sheetId="2" r:id="rId2"/>
    <sheet name="Sheet 2a" sheetId="3" r:id="rId3"/>
    <sheet name="Sheet 3" sheetId="4" r:id="rId4"/>
    <sheet name="Sheet 4" sheetId="5" r:id="rId5"/>
    <sheet name="Detail" sheetId="6" r:id="rId6"/>
  </sheets>
  <definedNames>
    <definedName name="_xlnm.Print_Area" localSheetId="1">'Sheet 2'!$A$1:$L$27</definedName>
    <definedName name="_xlnm.Print_Area" localSheetId="3">'Sheet 3'!$A$1:$L$37</definedName>
    <definedName name="_xlnm.Print_Area" localSheetId="4">'Sheet 4'!$A$1:$M$26</definedName>
    <definedName name="_xlnm.Print_Area" localSheetId="0">'Sheet1'!$A$1:$K$29</definedName>
  </definedNames>
  <calcPr fullCalcOnLoad="1"/>
</workbook>
</file>

<file path=xl/sharedStrings.xml><?xml version="1.0" encoding="utf-8"?>
<sst xmlns="http://schemas.openxmlformats.org/spreadsheetml/2006/main" count="399" uniqueCount="152">
  <si>
    <t>Policy</t>
  </si>
  <si>
    <t>Premium</t>
  </si>
  <si>
    <t>Invest</t>
  </si>
  <si>
    <t>Rate</t>
  </si>
  <si>
    <t>Expense</t>
  </si>
  <si>
    <t>Reserve</t>
  </si>
  <si>
    <t>Increase</t>
  </si>
  <si>
    <t>Interest</t>
  </si>
  <si>
    <t>Income</t>
  </si>
  <si>
    <t>Surplus</t>
  </si>
  <si>
    <t>Benefit</t>
  </si>
  <si>
    <t>GAAP</t>
  </si>
  <si>
    <t>Mortality</t>
  </si>
  <si>
    <t>Investment</t>
  </si>
  <si>
    <t>Commission</t>
  </si>
  <si>
    <t>(1)</t>
  </si>
  <si>
    <t>Maintenance</t>
  </si>
  <si>
    <t>Acquisition</t>
  </si>
  <si>
    <t>Surrender</t>
  </si>
  <si>
    <t>Book Profit</t>
  </si>
  <si>
    <t>Per</t>
  </si>
  <si>
    <t>Tax</t>
  </si>
  <si>
    <t>(2)</t>
  </si>
  <si>
    <t>(3)</t>
  </si>
  <si>
    <t>(4)</t>
  </si>
  <si>
    <t>(5)</t>
  </si>
  <si>
    <t>(6)</t>
  </si>
  <si>
    <t>(7)</t>
  </si>
  <si>
    <t>(8)</t>
  </si>
  <si>
    <r>
      <t>Year</t>
    </r>
    <r>
      <rPr>
        <b/>
        <i/>
        <vertAlign val="subscript"/>
        <sz val="10"/>
        <rFont val="Times New Roman"/>
        <family val="1"/>
      </rPr>
      <t>t</t>
    </r>
  </si>
  <si>
    <t>Allowances</t>
  </si>
  <si>
    <t>Direct</t>
  </si>
  <si>
    <t>Ceded</t>
  </si>
  <si>
    <t>PV of Prem</t>
  </si>
  <si>
    <t>Total Exp.</t>
  </si>
  <si>
    <t>BOY</t>
  </si>
  <si>
    <t>PV of</t>
  </si>
  <si>
    <t>Net Prem</t>
  </si>
  <si>
    <t>PV of Exp</t>
  </si>
  <si>
    <t>Allow.</t>
  </si>
  <si>
    <t>Exp.</t>
  </si>
  <si>
    <t>Exp. Res.</t>
  </si>
  <si>
    <t xml:space="preserve">Coinsurance </t>
  </si>
  <si>
    <t>Paid</t>
  </si>
  <si>
    <t>Received</t>
  </si>
  <si>
    <t>Reimbursed</t>
  </si>
  <si>
    <t>in Expense</t>
  </si>
  <si>
    <t xml:space="preserve">Increase </t>
  </si>
  <si>
    <t xml:space="preserve">GAAP </t>
  </si>
  <si>
    <t>Profit net of</t>
  </si>
  <si>
    <t>Reinsurance</t>
  </si>
  <si>
    <t>DERIVATION OF CEDED EXPENSE RESERVES</t>
  </si>
  <si>
    <t>(9)</t>
  </si>
  <si>
    <t>Yeart</t>
  </si>
  <si>
    <t>DERIVATION OF DIRECT EXPENSE RESERVE</t>
  </si>
  <si>
    <t>Ratio</t>
  </si>
  <si>
    <t>ANALYSIS OF DIRECT GAAP PROFIT MARGIN</t>
  </si>
  <si>
    <t>DERIVATION OF DIRECT BENEFIT RESERVE</t>
  </si>
  <si>
    <r>
      <t>Year</t>
    </r>
    <r>
      <rPr>
        <b/>
        <vertAlign val="subscript"/>
        <sz val="10"/>
        <rFont val="Times New Roman"/>
        <family val="1"/>
      </rPr>
      <t>t</t>
    </r>
  </si>
  <si>
    <t xml:space="preserve">PV of </t>
  </si>
  <si>
    <t>Benefits</t>
  </si>
  <si>
    <t xml:space="preserve">Direct </t>
  </si>
  <si>
    <t>ANALYSIS OF NET GAAP PROFIT MARGIN</t>
  </si>
  <si>
    <t xml:space="preserve">Income on </t>
  </si>
  <si>
    <t>Exp Reserve</t>
  </si>
  <si>
    <t>on Direct Basis</t>
  </si>
  <si>
    <t xml:space="preserve">Profit/(Loss) on </t>
  </si>
  <si>
    <t>Direct Writer's</t>
  </si>
  <si>
    <t>Profit as % of</t>
  </si>
  <si>
    <t>Premiums</t>
  </si>
  <si>
    <t>Reserve for</t>
  </si>
  <si>
    <t>Net Profit</t>
  </si>
  <si>
    <t>of Direct</t>
  </si>
  <si>
    <t>of Ceded</t>
  </si>
  <si>
    <t>of Net</t>
  </si>
  <si>
    <t xml:space="preserve">Ceded </t>
  </si>
  <si>
    <t>Direct Profit</t>
  </si>
  <si>
    <t>Ceded Profit</t>
  </si>
  <si>
    <t>Per-Premium</t>
  </si>
  <si>
    <t xml:space="preserve">Net of </t>
  </si>
  <si>
    <t>Profit Net of</t>
  </si>
  <si>
    <t>Death</t>
  </si>
  <si>
    <t>GAAP Policy-Year Results for 10-Year Level Term</t>
  </si>
  <si>
    <t>Expenses</t>
  </si>
  <si>
    <t>Change in</t>
  </si>
  <si>
    <t>Ben. Res.</t>
  </si>
  <si>
    <t>Profit</t>
  </si>
  <si>
    <t>Profit as a</t>
  </si>
  <si>
    <t>% of Prem.</t>
  </si>
  <si>
    <t>Claims</t>
  </si>
  <si>
    <t>MOY</t>
  </si>
  <si>
    <t xml:space="preserve">             Premium Profit Ratio</t>
  </si>
  <si>
    <t xml:space="preserve">Comm., </t>
  </si>
  <si>
    <t>Total</t>
  </si>
  <si>
    <t>Before Reinsurance</t>
  </si>
  <si>
    <t>Death Benefits in Middle of Year</t>
  </si>
  <si>
    <t>All Expenses at Beginning of Year</t>
  </si>
  <si>
    <t>(10)</t>
  </si>
  <si>
    <t>(11)</t>
  </si>
  <si>
    <t>(12)</t>
  </si>
  <si>
    <t>(13)</t>
  </si>
  <si>
    <t>(14)</t>
  </si>
  <si>
    <t>Ceded Ratio</t>
  </si>
  <si>
    <t>&amp; Expenses</t>
  </si>
  <si>
    <t xml:space="preserve">Prem. Taxes </t>
  </si>
  <si>
    <t>Investment Income on Net Cash Flows and Assets Backing Net GAAP Liability</t>
  </si>
  <si>
    <t>as %</t>
  </si>
  <si>
    <t>Statutory</t>
  </si>
  <si>
    <t>Reserves</t>
  </si>
  <si>
    <t>DERIVATION OF CEDED BENEFIT RESERVE</t>
  </si>
  <si>
    <t xml:space="preserve">Reserve on </t>
  </si>
  <si>
    <t>Direct Basis</t>
  </si>
  <si>
    <t>Formula</t>
  </si>
  <si>
    <t>Match Ceded DAC and Benefit Reserves Against Ceded Premium</t>
  </si>
  <si>
    <t>Ceded Benefit</t>
  </si>
  <si>
    <t xml:space="preserve">Profits released at BOY </t>
  </si>
  <si>
    <t>DERIVATION OF MODCO INTEREST</t>
  </si>
  <si>
    <t>MODCO Interest</t>
  </si>
  <si>
    <t>Difference</t>
  </si>
  <si>
    <t xml:space="preserve">Reserves </t>
  </si>
  <si>
    <t>Modco</t>
  </si>
  <si>
    <t>Adjusted</t>
  </si>
  <si>
    <t>Adjustment</t>
  </si>
  <si>
    <t xml:space="preserve">Adjustment </t>
  </si>
  <si>
    <t>for modco</t>
  </si>
  <si>
    <t>for benefits</t>
  </si>
  <si>
    <t>Derivation of MODCO Reserve Adjustment</t>
  </si>
  <si>
    <t>MODCO</t>
  </si>
  <si>
    <t>Reserve Adj.</t>
  </si>
  <si>
    <t>Coinsurance</t>
  </si>
  <si>
    <t>in Total</t>
  </si>
  <si>
    <t>GAAP Profits Net of 90% Modco (at beg. of 2nd year)</t>
  </si>
  <si>
    <t xml:space="preserve">Analysis of Profits Before and After 90% Modco (at beg. of 2nd year) </t>
  </si>
  <si>
    <t>90% Modco (at beg. of 2nd year) - Transactions and Reserves</t>
  </si>
  <si>
    <t>in Adjusted</t>
  </si>
  <si>
    <t>Ben. Res. for</t>
  </si>
  <si>
    <t>Expense Reserves for Direct and 90% Modco (at beg. of 2nd year)</t>
  </si>
  <si>
    <t>Premiums at the beginning of the year</t>
  </si>
  <si>
    <t>Initial expense allowance (paid at end of year 1) included in beginning of year 2 expense allowance</t>
  </si>
  <si>
    <t>Initial</t>
  </si>
  <si>
    <t>Net Profits</t>
  </si>
  <si>
    <t xml:space="preserve">net of </t>
  </si>
  <si>
    <t xml:space="preserve">as % of </t>
  </si>
  <si>
    <t>Net Premiums</t>
  </si>
  <si>
    <t>Initial ceded premium (paid at end of year 1) included in ceded premiums paid at the beginning of year 2</t>
  </si>
  <si>
    <t>Subsequent</t>
  </si>
  <si>
    <t xml:space="preserve">   Net Cost of Reinsurance Ratio</t>
  </si>
  <si>
    <t>Initial modco reserve adjustment assumed at beginning of year 2</t>
  </si>
  <si>
    <t>Other modco reserve adjustments occur at end of each year</t>
  </si>
  <si>
    <t xml:space="preserve">Modco </t>
  </si>
  <si>
    <t>Ceding</t>
  </si>
  <si>
    <t>Allowance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</si>
</sst>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_)"/>
    <numFmt numFmtId="166" formatCode="0_)"/>
    <numFmt numFmtId="167" formatCode="0.000_)"/>
    <numFmt numFmtId="168" formatCode="0.0000%"/>
    <numFmt numFmtId="169" formatCode="0.0000_)"/>
    <numFmt numFmtId="170" formatCode="0.000000_)"/>
    <numFmt numFmtId="171" formatCode="0.00000000_)"/>
    <numFmt numFmtId="172" formatCode="0.00000_)"/>
    <numFmt numFmtId="173" formatCode="#,##0.0"/>
    <numFmt numFmtId="174" formatCode="0_);\(0\)"/>
    <numFmt numFmtId="175" formatCode="_(* #,##0.0_);_(* \(#,##0.0\);_(* &quot;-&quot;??_);_(@_)"/>
    <numFmt numFmtId="176" formatCode="_(* #,##0_);_(* \(#,##0\);_(* &quot;-&quot;??_);_(@_)"/>
    <numFmt numFmtId="177" formatCode="0.00_);\(0.00\)"/>
    <numFmt numFmtId="178" formatCode="0.00000_);\(0.00000\)"/>
    <numFmt numFmtId="179" formatCode="0.0_)"/>
    <numFmt numFmtId="180" formatCode="0.0%"/>
    <numFmt numFmtId="181" formatCode="_(* #,##0.00000_);_(* \(#,##0.00000\);_(* &quot;-&quot;???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0.0"/>
    <numFmt numFmtId="186" formatCode="0.00000"/>
    <numFmt numFmtId="187" formatCode="0.0000"/>
    <numFmt numFmtId="188" formatCode="0.000"/>
    <numFmt numFmtId="189" formatCode="0.000%"/>
    <numFmt numFmtId="190" formatCode="0.00000000"/>
    <numFmt numFmtId="191" formatCode="0.0000000"/>
    <numFmt numFmtId="192" formatCode="0.000000"/>
    <numFmt numFmtId="193" formatCode="_(* #,##0.000000_);_(* \(#,##0.000000\);_(* &quot;-&quot;??_);_(@_)"/>
    <numFmt numFmtId="194" formatCode="_(* #,##0.000000_);_(* \(#,##0.000000\);_(* &quot;-&quot;??????_);_(@_)"/>
    <numFmt numFmtId="195" formatCode="0.0000000000000000%"/>
    <numFmt numFmtId="196" formatCode="0.000000000000000"/>
    <numFmt numFmtId="197" formatCode="0.0_);\(0.0\)"/>
    <numFmt numFmtId="198" formatCode="_(* #,##0.0000_);_(* \(#,##0.0000\);_(* &quot;-&quot;??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i/>
      <vertAlign val="subscript"/>
      <sz val="10"/>
      <name val="Times New Roman"/>
      <family val="1"/>
    </font>
    <font>
      <b/>
      <sz val="10"/>
      <name val="Arial"/>
      <family val="2"/>
    </font>
    <font>
      <b/>
      <vertAlign val="subscript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0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 locked="0"/>
    </xf>
    <xf numFmtId="165" fontId="4" fillId="0" borderId="0" xfId="0" applyNumberFormat="1" applyFont="1" applyBorder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169" fontId="4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/>
      <protection/>
    </xf>
    <xf numFmtId="10" fontId="1" fillId="0" borderId="0" xfId="0" applyNumberFormat="1" applyFont="1" applyBorder="1" applyAlignment="1" applyProtection="1">
      <alignment/>
      <protection locked="0"/>
    </xf>
    <xf numFmtId="166" fontId="4" fillId="0" borderId="0" xfId="0" applyNumberFormat="1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quotePrefix="1">
      <alignment horizontal="center"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Alignment="1">
      <alignment/>
    </xf>
    <xf numFmtId="165" fontId="1" fillId="0" borderId="0" xfId="0" applyNumberFormat="1" applyFont="1" applyBorder="1" applyAlignment="1" applyProtection="1">
      <alignment/>
      <protection/>
    </xf>
    <xf numFmtId="43" fontId="1" fillId="0" borderId="0" xfId="15" applyFont="1" applyAlignment="1" applyProtection="1">
      <alignment/>
      <protection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Alignment="1" applyProtection="1">
      <alignment/>
      <protection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 quotePrefix="1">
      <alignment horizontal="center"/>
    </xf>
    <xf numFmtId="176" fontId="1" fillId="0" borderId="1" xfId="15" applyNumberFormat="1" applyFont="1" applyBorder="1" applyAlignment="1" quotePrefix="1">
      <alignment horizontal="right"/>
    </xf>
    <xf numFmtId="174" fontId="1" fillId="0" borderId="4" xfId="0" applyNumberFormat="1" applyFont="1" applyBorder="1" applyAlignment="1">
      <alignment horizontal="center"/>
    </xf>
    <xf numFmtId="39" fontId="1" fillId="0" borderId="1" xfId="15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4" fontId="2" fillId="0" borderId="1" xfId="0" applyNumberFormat="1" applyFont="1" applyBorder="1" applyAlignment="1">
      <alignment horizontal="center"/>
    </xf>
    <xf numFmtId="176" fontId="1" fillId="0" borderId="0" xfId="15" applyNumberFormat="1" applyFont="1" applyAlignment="1" applyProtection="1">
      <alignment/>
      <protection/>
    </xf>
    <xf numFmtId="0" fontId="2" fillId="0" borderId="6" xfId="0" applyFont="1" applyBorder="1" applyAlignment="1">
      <alignment horizontal="center"/>
    </xf>
    <xf numFmtId="43" fontId="1" fillId="0" borderId="0" xfId="15" applyFont="1" applyAlignment="1">
      <alignment/>
    </xf>
    <xf numFmtId="179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174" fontId="1" fillId="0" borderId="1" xfId="0" applyNumberFormat="1" applyFont="1" applyBorder="1" applyAlignment="1" quotePrefix="1">
      <alignment horizontal="center"/>
    </xf>
    <xf numFmtId="174" fontId="1" fillId="0" borderId="1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76" fontId="1" fillId="0" borderId="0" xfId="15" applyNumberFormat="1" applyFont="1" applyBorder="1" applyAlignment="1" applyProtection="1">
      <alignment/>
      <protection/>
    </xf>
    <xf numFmtId="10" fontId="1" fillId="0" borderId="0" xfId="19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 applyProtection="1">
      <alignment/>
      <protection locked="0"/>
    </xf>
    <xf numFmtId="10" fontId="2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165" fontId="1" fillId="0" borderId="5" xfId="0" applyNumberFormat="1" applyFont="1" applyBorder="1" applyAlignment="1" applyProtection="1">
      <alignment/>
      <protection locked="0"/>
    </xf>
    <xf numFmtId="180" fontId="1" fillId="0" borderId="5" xfId="19" applyNumberFormat="1" applyFont="1" applyBorder="1" applyAlignment="1" applyProtection="1">
      <alignment/>
      <protection locked="0"/>
    </xf>
    <xf numFmtId="43" fontId="1" fillId="0" borderId="0" xfId="15" applyFont="1" applyBorder="1" applyAlignment="1" applyProtection="1">
      <alignment/>
      <protection/>
    </xf>
    <xf numFmtId="43" fontId="1" fillId="0" borderId="0" xfId="15" applyFont="1" applyBorder="1" applyAlignment="1">
      <alignment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 quotePrefix="1">
      <alignment horizontal="center"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8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76" fontId="1" fillId="0" borderId="0" xfId="15" applyNumberFormat="1" applyFont="1" applyBorder="1" applyAlignment="1" quotePrefix="1">
      <alignment/>
    </xf>
    <xf numFmtId="39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171" fontId="2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169" fontId="2" fillId="0" borderId="0" xfId="0" applyNumberFormat="1" applyFont="1" applyBorder="1" applyAlignment="1" applyProtection="1">
      <alignment/>
      <protection/>
    </xf>
    <xf numFmtId="176" fontId="1" fillId="0" borderId="0" xfId="15" applyNumberFormat="1" applyFont="1" applyBorder="1" applyAlignment="1">
      <alignment/>
    </xf>
    <xf numFmtId="43" fontId="1" fillId="0" borderId="0" xfId="15" applyFont="1" applyBorder="1" applyAlignment="1" applyProtection="1">
      <alignment/>
      <protection/>
    </xf>
    <xf numFmtId="176" fontId="1" fillId="0" borderId="0" xfId="15" applyNumberFormat="1" applyFont="1" applyBorder="1" applyAlignment="1">
      <alignment/>
    </xf>
    <xf numFmtId="189" fontId="0" fillId="0" borderId="0" xfId="19" applyNumberFormat="1" applyBorder="1" applyAlignment="1">
      <alignment/>
    </xf>
    <xf numFmtId="174" fontId="1" fillId="0" borderId="0" xfId="0" applyNumberFormat="1" applyFont="1" applyBorder="1" applyAlignment="1" quotePrefix="1">
      <alignment horizontal="center"/>
    </xf>
    <xf numFmtId="176" fontId="1" fillId="0" borderId="0" xfId="15" applyNumberFormat="1" applyFont="1" applyBorder="1" applyAlignment="1" quotePrefix="1">
      <alignment horizontal="right"/>
    </xf>
    <xf numFmtId="39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quotePrefix="1">
      <alignment horizontal="center"/>
    </xf>
    <xf numFmtId="174" fontId="2" fillId="0" borderId="0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43" fontId="0" fillId="0" borderId="0" xfId="15" applyAlignment="1">
      <alignment/>
    </xf>
    <xf numFmtId="0" fontId="6" fillId="0" borderId="0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 applyProtection="1">
      <alignment horizontal="center"/>
      <protection/>
    </xf>
    <xf numFmtId="49" fontId="1" fillId="0" borderId="4" xfId="0" applyNumberFormat="1" applyFont="1" applyBorder="1" applyAlignment="1" applyProtection="1">
      <alignment horizontal="center"/>
      <protection/>
    </xf>
    <xf numFmtId="49" fontId="1" fillId="0" borderId="8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39" fontId="1" fillId="0" borderId="5" xfId="15" applyNumberFormat="1" applyFont="1" applyBorder="1" applyAlignment="1">
      <alignment/>
    </xf>
    <xf numFmtId="10" fontId="1" fillId="0" borderId="1" xfId="0" applyNumberFormat="1" applyFont="1" applyBorder="1" applyAlignment="1" applyProtection="1">
      <alignment/>
      <protection locked="0"/>
    </xf>
    <xf numFmtId="0" fontId="0" fillId="0" borderId="9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43" fontId="0" fillId="0" borderId="0" xfId="0" applyNumberFormat="1" applyAlignment="1">
      <alignment/>
    </xf>
    <xf numFmtId="39" fontId="1" fillId="0" borderId="1" xfId="15" applyNumberFormat="1" applyFont="1" applyBorder="1" applyAlignment="1" applyProtection="1">
      <alignment/>
      <protection locked="0"/>
    </xf>
    <xf numFmtId="0" fontId="2" fillId="0" borderId="8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179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186" fontId="0" fillId="0" borderId="0" xfId="0" applyNumberFormat="1" applyAlignment="1">
      <alignment/>
    </xf>
    <xf numFmtId="43" fontId="1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horizontal="center"/>
    </xf>
    <xf numFmtId="9" fontId="0" fillId="0" borderId="0" xfId="19" applyAlignment="1">
      <alignment/>
    </xf>
    <xf numFmtId="168" fontId="0" fillId="0" borderId="0" xfId="19" applyNumberFormat="1" applyAlignment="1">
      <alignment/>
    </xf>
    <xf numFmtId="0" fontId="2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179" fontId="1" fillId="0" borderId="0" xfId="0" applyNumberFormat="1" applyFont="1" applyBorder="1" applyAlignment="1" applyProtection="1">
      <alignment/>
      <protection/>
    </xf>
    <xf numFmtId="43" fontId="1" fillId="0" borderId="0" xfId="0" applyNumberFormat="1" applyFont="1" applyBorder="1" applyAlignment="1" applyProtection="1">
      <alignment/>
      <protection locked="0"/>
    </xf>
    <xf numFmtId="10" fontId="1" fillId="0" borderId="0" xfId="19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>
      <alignment/>
    </xf>
    <xf numFmtId="183" fontId="0" fillId="0" borderId="0" xfId="15" applyNumberFormat="1" applyAlignment="1">
      <alignment/>
    </xf>
    <xf numFmtId="172" fontId="1" fillId="0" borderId="0" xfId="0" applyNumberFormat="1" applyFont="1" applyBorder="1" applyAlignment="1" applyProtection="1">
      <alignment/>
      <protection/>
    </xf>
    <xf numFmtId="175" fontId="1" fillId="0" borderId="1" xfId="15" applyNumberFormat="1" applyFont="1" applyBorder="1" applyAlignment="1">
      <alignment/>
    </xf>
    <xf numFmtId="173" fontId="1" fillId="0" borderId="1" xfId="0" applyNumberFormat="1" applyFont="1" applyBorder="1" applyAlignment="1" applyProtection="1">
      <alignment/>
      <protection/>
    </xf>
    <xf numFmtId="175" fontId="1" fillId="0" borderId="5" xfId="15" applyNumberFormat="1" applyFont="1" applyBorder="1" applyAlignment="1" applyProtection="1">
      <alignment/>
      <protection locked="0"/>
    </xf>
    <xf numFmtId="175" fontId="1" fillId="0" borderId="1" xfId="0" applyNumberFormat="1" applyFont="1" applyBorder="1" applyAlignment="1" applyProtection="1">
      <alignment/>
      <protection locked="0"/>
    </xf>
    <xf numFmtId="175" fontId="1" fillId="0" borderId="1" xfId="15" applyNumberFormat="1" applyFont="1" applyBorder="1" applyAlignment="1" applyProtection="1">
      <alignment/>
      <protection/>
    </xf>
    <xf numFmtId="197" fontId="1" fillId="0" borderId="0" xfId="0" applyNumberFormat="1" applyFont="1" applyBorder="1" applyAlignment="1">
      <alignment/>
    </xf>
    <xf numFmtId="175" fontId="1" fillId="0" borderId="5" xfId="15" applyNumberFormat="1" applyFont="1" applyBorder="1" applyAlignment="1" applyProtection="1">
      <alignment/>
      <protection/>
    </xf>
    <xf numFmtId="180" fontId="1" fillId="0" borderId="1" xfId="15" applyNumberFormat="1" applyFont="1" applyBorder="1" applyAlignment="1" applyProtection="1">
      <alignment/>
      <protection locked="0"/>
    </xf>
    <xf numFmtId="175" fontId="1" fillId="0" borderId="2" xfId="15" applyNumberFormat="1" applyFont="1" applyBorder="1" applyAlignment="1">
      <alignment/>
    </xf>
    <xf numFmtId="173" fontId="1" fillId="0" borderId="2" xfId="0" applyNumberFormat="1" applyFont="1" applyBorder="1" applyAlignment="1" applyProtection="1">
      <alignment/>
      <protection/>
    </xf>
    <xf numFmtId="175" fontId="1" fillId="0" borderId="6" xfId="15" applyNumberFormat="1" applyFont="1" applyBorder="1" applyAlignment="1" applyProtection="1">
      <alignment/>
      <protection locked="0"/>
    </xf>
    <xf numFmtId="175" fontId="1" fillId="0" borderId="2" xfId="0" applyNumberFormat="1" applyFont="1" applyBorder="1" applyAlignment="1" applyProtection="1">
      <alignment/>
      <protection locked="0"/>
    </xf>
    <xf numFmtId="175" fontId="1" fillId="0" borderId="2" xfId="15" applyNumberFormat="1" applyFont="1" applyBorder="1" applyAlignment="1" applyProtection="1">
      <alignment/>
      <protection/>
    </xf>
    <xf numFmtId="197" fontId="1" fillId="0" borderId="9" xfId="0" applyNumberFormat="1" applyFont="1" applyBorder="1" applyAlignment="1">
      <alignment/>
    </xf>
    <xf numFmtId="175" fontId="1" fillId="0" borderId="6" xfId="15" applyNumberFormat="1" applyFont="1" applyBorder="1" applyAlignment="1" applyProtection="1">
      <alignment/>
      <protection/>
    </xf>
    <xf numFmtId="180" fontId="1" fillId="0" borderId="2" xfId="15" applyNumberFormat="1" applyFont="1" applyBorder="1" applyAlignment="1" applyProtection="1">
      <alignment/>
      <protection locked="0"/>
    </xf>
    <xf numFmtId="180" fontId="1" fillId="0" borderId="2" xfId="19" applyNumberFormat="1" applyFont="1" applyBorder="1" applyAlignment="1" applyProtection="1">
      <alignment/>
      <protection locked="0"/>
    </xf>
    <xf numFmtId="175" fontId="1" fillId="0" borderId="0" xfId="15" applyNumberFormat="1" applyFont="1" applyAlignment="1">
      <alignment/>
    </xf>
    <xf numFmtId="180" fontId="1" fillId="0" borderId="1" xfId="19" applyNumberFormat="1" applyFont="1" applyBorder="1" applyAlignment="1" applyProtection="1">
      <alignment/>
      <protection/>
    </xf>
    <xf numFmtId="180" fontId="1" fillId="0" borderId="11" xfId="19" applyNumberFormat="1" applyFont="1" applyBorder="1" applyAlignment="1">
      <alignment/>
    </xf>
    <xf numFmtId="180" fontId="1" fillId="0" borderId="2" xfId="19" applyNumberFormat="1" applyFont="1" applyBorder="1" applyAlignment="1" applyProtection="1">
      <alignment/>
      <protection/>
    </xf>
    <xf numFmtId="180" fontId="1" fillId="0" borderId="3" xfId="19" applyNumberFormat="1" applyFont="1" applyBorder="1" applyAlignment="1">
      <alignment/>
    </xf>
    <xf numFmtId="175" fontId="1" fillId="0" borderId="1" xfId="15" applyNumberFormat="1" applyFont="1" applyBorder="1" applyAlignment="1" applyProtection="1">
      <alignment/>
      <protection locked="0"/>
    </xf>
    <xf numFmtId="175" fontId="1" fillId="0" borderId="2" xfId="15" applyNumberFormat="1" applyFont="1" applyBorder="1" applyAlignment="1" applyProtection="1">
      <alignment/>
      <protection locked="0"/>
    </xf>
    <xf numFmtId="175" fontId="1" fillId="0" borderId="1" xfId="0" applyNumberFormat="1" applyFont="1" applyBorder="1" applyAlignment="1" applyProtection="1">
      <alignment/>
      <protection/>
    </xf>
    <xf numFmtId="175" fontId="1" fillId="0" borderId="6" xfId="15" applyNumberFormat="1" applyFont="1" applyBorder="1" applyAlignment="1">
      <alignment/>
    </xf>
    <xf numFmtId="175" fontId="1" fillId="0" borderId="2" xfId="0" applyNumberFormat="1" applyFont="1" applyBorder="1" applyAlignment="1" applyProtection="1">
      <alignment/>
      <protection/>
    </xf>
    <xf numFmtId="0" fontId="2" fillId="0" borderId="6" xfId="0" applyFont="1" applyBorder="1" applyAlignment="1">
      <alignment horizontal="centerContinuous" vertical="top" wrapText="1"/>
    </xf>
    <xf numFmtId="165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180" fontId="1" fillId="0" borderId="5" xfId="19" applyNumberFormat="1" applyFont="1" applyBorder="1" applyAlignment="1" applyProtection="1">
      <alignment horizontal="center"/>
      <protection locked="0"/>
    </xf>
    <xf numFmtId="10" fontId="0" fillId="0" borderId="0" xfId="19" applyNumberFormat="1" applyAlignment="1">
      <alignment/>
    </xf>
    <xf numFmtId="43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1" fillId="0" borderId="1" xfId="0" applyFont="1" applyBorder="1" applyAlignment="1">
      <alignment/>
    </xf>
    <xf numFmtId="39" fontId="1" fillId="0" borderId="1" xfId="0" applyNumberFormat="1" applyFont="1" applyBorder="1" applyAlignment="1">
      <alignment horizontal="right"/>
    </xf>
    <xf numFmtId="39" fontId="1" fillId="0" borderId="5" xfId="0" applyNumberFormat="1" applyFont="1" applyBorder="1" applyAlignment="1">
      <alignment horizontal="right"/>
    </xf>
    <xf numFmtId="39" fontId="1" fillId="0" borderId="1" xfId="0" applyNumberFormat="1" applyFont="1" applyBorder="1" applyAlignment="1">
      <alignment/>
    </xf>
    <xf numFmtId="175" fontId="1" fillId="0" borderId="1" xfId="15" applyNumberFormat="1" applyFont="1" applyBorder="1" applyAlignment="1" applyProtection="1">
      <alignment/>
      <protection/>
    </xf>
    <xf numFmtId="175" fontId="1" fillId="0" borderId="1" xfId="15" applyNumberFormat="1" applyFont="1" applyBorder="1" applyAlignment="1">
      <alignment horizontal="right"/>
    </xf>
    <xf numFmtId="175" fontId="1" fillId="0" borderId="5" xfId="15" applyNumberFormat="1" applyFont="1" applyBorder="1" applyAlignment="1">
      <alignment horizontal="right"/>
    </xf>
    <xf numFmtId="175" fontId="1" fillId="0" borderId="11" xfId="0" applyNumberFormat="1" applyFont="1" applyBorder="1" applyAlignment="1">
      <alignment/>
    </xf>
    <xf numFmtId="175" fontId="1" fillId="0" borderId="3" xfId="0" applyNumberFormat="1" applyFont="1" applyBorder="1" applyAlignment="1">
      <alignment/>
    </xf>
    <xf numFmtId="10" fontId="1" fillId="0" borderId="0" xfId="15" applyNumberFormat="1" applyFont="1" applyBorder="1" applyAlignment="1">
      <alignment/>
    </xf>
    <xf numFmtId="10" fontId="1" fillId="0" borderId="9" xfId="15" applyNumberFormat="1" applyFont="1" applyBorder="1" applyAlignment="1">
      <alignment/>
    </xf>
    <xf numFmtId="175" fontId="1" fillId="0" borderId="2" xfId="15" applyNumberFormat="1" applyFont="1" applyBorder="1" applyAlignment="1" applyProtection="1">
      <alignment/>
      <protection/>
    </xf>
    <xf numFmtId="175" fontId="1" fillId="0" borderId="2" xfId="15" applyNumberFormat="1" applyFont="1" applyBorder="1" applyAlignment="1">
      <alignment horizontal="right"/>
    </xf>
    <xf numFmtId="175" fontId="1" fillId="0" borderId="6" xfId="15" applyNumberFormat="1" applyFont="1" applyBorder="1" applyAlignment="1">
      <alignment horizontal="right"/>
    </xf>
    <xf numFmtId="0" fontId="6" fillId="0" borderId="9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176" fontId="2" fillId="0" borderId="0" xfId="15" applyNumberFormat="1" applyFont="1" applyBorder="1" applyAlignment="1">
      <alignment/>
    </xf>
    <xf numFmtId="184" fontId="0" fillId="0" borderId="0" xfId="15" applyNumberFormat="1" applyAlignment="1">
      <alignment/>
    </xf>
    <xf numFmtId="39" fontId="0" fillId="0" borderId="0" xfId="0" applyNumberFormat="1" applyAlignment="1">
      <alignment/>
    </xf>
    <xf numFmtId="4" fontId="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76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29"/>
  <sheetViews>
    <sheetView zoomScale="75" zoomScaleNormal="75" workbookViewId="0" topLeftCell="A1">
      <selection activeCell="K15" sqref="K15"/>
    </sheetView>
  </sheetViews>
  <sheetFormatPr defaultColWidth="9.140625" defaultRowHeight="12.75"/>
  <cols>
    <col min="2" max="2" width="10.00390625" style="0" customWidth="1"/>
    <col min="3" max="3" width="9.421875" style="0" customWidth="1"/>
    <col min="4" max="4" width="14.140625" style="0" customWidth="1"/>
    <col min="5" max="5" width="12.00390625" style="0" customWidth="1"/>
    <col min="6" max="6" width="14.28125" style="0" customWidth="1"/>
    <col min="7" max="9" width="11.7109375" style="0" customWidth="1"/>
    <col min="10" max="10" width="12.7109375" style="0" customWidth="1"/>
  </cols>
  <sheetData>
    <row r="6" spans="2:10" ht="12.75">
      <c r="B6" s="109" t="s">
        <v>82</v>
      </c>
      <c r="C6" s="104"/>
      <c r="D6" s="104"/>
      <c r="E6" s="104"/>
      <c r="F6" s="104"/>
      <c r="G6" s="104"/>
      <c r="H6" s="104"/>
      <c r="I6" s="106"/>
      <c r="J6" s="105"/>
    </row>
    <row r="7" spans="2:10" ht="12.75">
      <c r="B7" s="110" t="s">
        <v>94</v>
      </c>
      <c r="C7" s="101"/>
      <c r="D7" s="101"/>
      <c r="E7" s="103"/>
      <c r="F7" s="101"/>
      <c r="G7" s="101"/>
      <c r="H7" s="101"/>
      <c r="I7" s="103"/>
      <c r="J7" s="102"/>
    </row>
    <row r="8" spans="2:10" ht="12.75">
      <c r="B8" s="93" t="s">
        <v>15</v>
      </c>
      <c r="C8" s="93" t="s">
        <v>22</v>
      </c>
      <c r="D8" s="93" t="s">
        <v>23</v>
      </c>
      <c r="E8" s="94" t="s">
        <v>24</v>
      </c>
      <c r="F8" s="95" t="s">
        <v>25</v>
      </c>
      <c r="G8" s="94" t="s">
        <v>26</v>
      </c>
      <c r="H8" s="96" t="s">
        <v>27</v>
      </c>
      <c r="I8" s="95" t="s">
        <v>28</v>
      </c>
      <c r="J8" s="95" t="s">
        <v>52</v>
      </c>
    </row>
    <row r="9" spans="2:10" ht="12.75">
      <c r="B9" s="38"/>
      <c r="C9" s="39" t="s">
        <v>31</v>
      </c>
      <c r="D9" s="45"/>
      <c r="E9" s="22"/>
      <c r="F9" s="39" t="s">
        <v>92</v>
      </c>
      <c r="G9" s="46"/>
      <c r="H9" s="45" t="s">
        <v>84</v>
      </c>
      <c r="I9" s="39"/>
      <c r="J9" s="122"/>
    </row>
    <row r="10" spans="2:10" ht="12.75">
      <c r="B10" s="39" t="s">
        <v>0</v>
      </c>
      <c r="C10" s="39" t="s">
        <v>1</v>
      </c>
      <c r="D10" s="45" t="s">
        <v>13</v>
      </c>
      <c r="E10" s="39" t="s">
        <v>81</v>
      </c>
      <c r="F10" s="39" t="s">
        <v>104</v>
      </c>
      <c r="G10" s="46" t="s">
        <v>84</v>
      </c>
      <c r="H10" s="45" t="s">
        <v>93</v>
      </c>
      <c r="I10" s="39" t="s">
        <v>11</v>
      </c>
      <c r="J10" s="39" t="s">
        <v>87</v>
      </c>
    </row>
    <row r="11" spans="2:10" ht="13.5">
      <c r="B11" s="40" t="s">
        <v>29</v>
      </c>
      <c r="C11" s="40" t="s">
        <v>8</v>
      </c>
      <c r="D11" s="49" t="s">
        <v>8</v>
      </c>
      <c r="E11" s="40" t="s">
        <v>60</v>
      </c>
      <c r="F11" s="40" t="s">
        <v>103</v>
      </c>
      <c r="G11" s="97" t="s">
        <v>85</v>
      </c>
      <c r="H11" s="49" t="s">
        <v>41</v>
      </c>
      <c r="I11" s="40" t="s">
        <v>86</v>
      </c>
      <c r="J11" s="40" t="s">
        <v>88</v>
      </c>
    </row>
    <row r="12" spans="2:10" ht="12.75">
      <c r="B12" s="22">
        <v>0</v>
      </c>
      <c r="C12" s="42"/>
      <c r="D12" s="22"/>
      <c r="E12" s="63"/>
      <c r="F12" s="100"/>
      <c r="G12" s="44"/>
      <c r="H12" s="98"/>
      <c r="I12" s="99"/>
      <c r="J12" s="108"/>
    </row>
    <row r="13" spans="2:10" ht="12.75">
      <c r="B13" s="22">
        <v>1</v>
      </c>
      <c r="C13" s="129">
        <f>Detail!C47</f>
        <v>100</v>
      </c>
      <c r="D13" s="130">
        <f>Detail!D47</f>
        <v>-0.5308662191598139</v>
      </c>
      <c r="E13" s="131">
        <f>Detail!E47</f>
        <v>10</v>
      </c>
      <c r="F13" s="132">
        <f>Detail!F47</f>
        <v>82</v>
      </c>
      <c r="G13" s="133">
        <f>Detail!G47</f>
        <v>34.28643239902118</v>
      </c>
      <c r="H13" s="134">
        <f>Detail!H47</f>
        <v>-47.48566699491259</v>
      </c>
      <c r="I13" s="135">
        <f>Detail!I47</f>
        <v>20.668368376731593</v>
      </c>
      <c r="J13" s="136">
        <f>Detail!J47</f>
        <v>0.20668368376731594</v>
      </c>
    </row>
    <row r="14" spans="2:10" ht="12.75">
      <c r="B14" s="22">
        <v>2</v>
      </c>
      <c r="C14" s="129">
        <f>Detail!C48</f>
        <v>90</v>
      </c>
      <c r="D14" s="130">
        <f>Detail!D48</f>
        <v>1.8568257213706079</v>
      </c>
      <c r="E14" s="131">
        <f>Detail!E48</f>
        <v>15</v>
      </c>
      <c r="F14" s="132">
        <f>Detail!F48</f>
        <v>24.3</v>
      </c>
      <c r="G14" s="133">
        <f>Detail!G48</f>
        <v>27.051391167377403</v>
      </c>
      <c r="H14" s="134">
        <f>Detail!H48</f>
        <v>6.903903014934727</v>
      </c>
      <c r="I14" s="135">
        <f>Detail!I48</f>
        <v>18.601531539058485</v>
      </c>
      <c r="J14" s="136">
        <f>Detail!J48</f>
        <v>0.2066836837673165</v>
      </c>
    </row>
    <row r="15" spans="2:10" ht="12.75">
      <c r="B15" s="22">
        <v>3</v>
      </c>
      <c r="C15" s="129">
        <f>Detail!C49</f>
        <v>81</v>
      </c>
      <c r="D15" s="130">
        <f>Detail!D49</f>
        <v>3.731966818511567</v>
      </c>
      <c r="E15" s="131">
        <f>Detail!E49</f>
        <v>20</v>
      </c>
      <c r="F15" s="132">
        <f>Detail!F49</f>
        <v>21.87</v>
      </c>
      <c r="G15" s="133">
        <f>Detail!G49</f>
        <v>19.7562021778366</v>
      </c>
      <c r="H15" s="134">
        <f>Detail!H49</f>
        <v>6.364386255522334</v>
      </c>
      <c r="I15" s="135">
        <f>Detail!I49</f>
        <v>16.74137838515263</v>
      </c>
      <c r="J15" s="136">
        <f>Detail!J49</f>
        <v>0.2066836837673164</v>
      </c>
    </row>
    <row r="16" spans="2:10" ht="12.75">
      <c r="B16" s="22">
        <v>4</v>
      </c>
      <c r="C16" s="129">
        <f>Detail!C50</f>
        <v>72.9</v>
      </c>
      <c r="D16" s="130">
        <f>Detail!D50</f>
        <v>5.091647441148462</v>
      </c>
      <c r="E16" s="131">
        <f>Detail!E50</f>
        <v>25</v>
      </c>
      <c r="F16" s="132">
        <f>Detail!F50</f>
        <v>19.683</v>
      </c>
      <c r="G16" s="133">
        <f>Detail!G50</f>
        <v>12.352024574514317</v>
      </c>
      <c r="H16" s="134">
        <f>Detail!H50</f>
        <v>5.889382319996827</v>
      </c>
      <c r="I16" s="135">
        <f>Detail!I50</f>
        <v>15.06724054663733</v>
      </c>
      <c r="J16" s="136">
        <f>Detail!J50</f>
        <v>0.20668368376731588</v>
      </c>
    </row>
    <row r="17" spans="2:10" ht="12.75">
      <c r="B17" s="22">
        <v>5</v>
      </c>
      <c r="C17" s="129">
        <f>Detail!C51</f>
        <v>65.61000000000001</v>
      </c>
      <c r="D17" s="130">
        <f>Detail!D51</f>
        <v>5.929457391196403</v>
      </c>
      <c r="E17" s="131">
        <f>Detail!E51</f>
        <v>30</v>
      </c>
      <c r="F17" s="132">
        <f>Detail!F51</f>
        <v>17.714700000000004</v>
      </c>
      <c r="G17" s="133">
        <f>Detail!G51</f>
        <v>4.7910616928970455</v>
      </c>
      <c r="H17" s="134">
        <f>Detail!H51</f>
        <v>5.47317920632571</v>
      </c>
      <c r="I17" s="135">
        <f>Detail!I51</f>
        <v>13.560516491973662</v>
      </c>
      <c r="J17" s="136">
        <f>Detail!J51</f>
        <v>0.20668368376731686</v>
      </c>
    </row>
    <row r="18" spans="2:10" ht="12.75">
      <c r="B18" s="22">
        <v>6</v>
      </c>
      <c r="C18" s="129">
        <f>Detail!C52</f>
        <v>59.049000000000014</v>
      </c>
      <c r="D18" s="130">
        <f>Detail!D52</f>
        <v>6.2355705531915095</v>
      </c>
      <c r="E18" s="131">
        <f>Detail!E52</f>
        <v>35</v>
      </c>
      <c r="F18" s="132">
        <f>Detail!F52</f>
        <v>15.943230000000003</v>
      </c>
      <c r="G18" s="133">
        <f>Detail!G52</f>
        <v>-2.973812151889476</v>
      </c>
      <c r="H18" s="134">
        <f>Detail!H52</f>
        <v>5.110687862304744</v>
      </c>
      <c r="I18" s="135">
        <f>Detail!I52</f>
        <v>12.204464842776257</v>
      </c>
      <c r="J18" s="136">
        <f>Detail!J52</f>
        <v>0.20668368376731622</v>
      </c>
    </row>
    <row r="19" spans="2:10" ht="12.75">
      <c r="B19" s="22">
        <v>7</v>
      </c>
      <c r="C19" s="129">
        <f>Detail!C53</f>
        <v>53.144100000000016</v>
      </c>
      <c r="D19" s="130">
        <f>Detail!D53</f>
        <v>5.996802500425713</v>
      </c>
      <c r="E19" s="131">
        <f>Detail!E53</f>
        <v>40</v>
      </c>
      <c r="F19" s="132">
        <f>Detail!F53</f>
        <v>14.348907000000004</v>
      </c>
      <c r="G19" s="133">
        <f>Detail!G53</f>
        <v>-10.98940637112156</v>
      </c>
      <c r="H19" s="134">
        <f>Detail!H53</f>
        <v>4.797383513048665</v>
      </c>
      <c r="I19" s="135">
        <f>Detail!I53</f>
        <v>10.984018358498624</v>
      </c>
      <c r="J19" s="136">
        <f>Detail!J53</f>
        <v>0.20668368376731605</v>
      </c>
    </row>
    <row r="20" spans="2:10" ht="12.75">
      <c r="B20" s="22">
        <v>8</v>
      </c>
      <c r="C20" s="129">
        <f>Detail!C54</f>
        <v>47.829690000000014</v>
      </c>
      <c r="D20" s="130">
        <f>Detail!D54</f>
        <v>5.1966424614758004</v>
      </c>
      <c r="E20" s="131">
        <f>Detail!E54</f>
        <v>45</v>
      </c>
      <c r="F20" s="132">
        <f>Detail!F54</f>
        <v>12.914016300000004</v>
      </c>
      <c r="G20" s="133">
        <f>Detail!G54</f>
        <v>-19.30255347047938</v>
      </c>
      <c r="H20" s="134">
        <f>Detail!H54</f>
        <v>4.5292531093064134</v>
      </c>
      <c r="I20" s="135">
        <f>Detail!I54</f>
        <v>9.885616522648782</v>
      </c>
      <c r="J20" s="136">
        <f>Detail!J54</f>
        <v>0.20668368376731647</v>
      </c>
    </row>
    <row r="21" spans="2:10" ht="12.75">
      <c r="B21" s="22">
        <v>9</v>
      </c>
      <c r="C21" s="129">
        <f>Detail!C55</f>
        <v>43.04672100000001</v>
      </c>
      <c r="D21" s="130">
        <f>Detail!D55</f>
        <v>3.815260819557934</v>
      </c>
      <c r="E21" s="131">
        <f>Detail!E55</f>
        <v>50</v>
      </c>
      <c r="F21" s="132">
        <f>Detail!F55</f>
        <v>11.622614670000003</v>
      </c>
      <c r="G21" s="133">
        <f>Detail!G55</f>
        <v>-27.96043602309372</v>
      </c>
      <c r="H21" s="134">
        <f>Detail!H55</f>
        <v>4.302748302267757</v>
      </c>
      <c r="I21" s="135">
        <f>Detail!I55</f>
        <v>8.897054870383908</v>
      </c>
      <c r="J21" s="136">
        <f>Detail!J55</f>
        <v>0.20668368376731658</v>
      </c>
    </row>
    <row r="22" spans="2:10" ht="12.75">
      <c r="B22" s="23">
        <v>10</v>
      </c>
      <c r="C22" s="137">
        <f>Detail!C56</f>
        <v>38.742048900000015</v>
      </c>
      <c r="D22" s="138">
        <f>Detail!D56</f>
        <v>1.8294931024885024</v>
      </c>
      <c r="E22" s="139">
        <f>Detail!E56</f>
        <v>55</v>
      </c>
      <c r="F22" s="140">
        <f>Detail!F56</f>
        <v>10.460353203000004</v>
      </c>
      <c r="G22" s="141">
        <f>Detail!G56</f>
        <v>-37.01090399506241</v>
      </c>
      <c r="H22" s="142">
        <f>Detail!H56</f>
        <v>4.114743411205415</v>
      </c>
      <c r="I22" s="143">
        <f>Detail!I56</f>
        <v>8.0073493833455</v>
      </c>
      <c r="J22" s="144">
        <f>Detail!J56</f>
        <v>0.20668368376731613</v>
      </c>
    </row>
    <row r="25" ht="12.75">
      <c r="B25" t="s">
        <v>137</v>
      </c>
    </row>
    <row r="26" ht="12.75">
      <c r="B26" t="s">
        <v>95</v>
      </c>
    </row>
    <row r="27" ht="12.75">
      <c r="B27" t="s">
        <v>96</v>
      </c>
    </row>
    <row r="28" ht="12.75">
      <c r="B28" t="s">
        <v>105</v>
      </c>
    </row>
    <row r="29" ht="12.75">
      <c r="B29" t="s">
        <v>115</v>
      </c>
    </row>
  </sheetData>
  <printOptions/>
  <pageMargins left="0.75" right="0.75" top="1" bottom="1" header="0.5" footer="0.5"/>
  <pageSetup horizontalDpi="600" verticalDpi="600" orientation="landscape" scale="98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7"/>
  <sheetViews>
    <sheetView zoomScale="70" zoomScaleNormal="70" workbookViewId="0" topLeftCell="A1">
      <selection activeCell="H14" sqref="H14"/>
    </sheetView>
  </sheetViews>
  <sheetFormatPr defaultColWidth="12.57421875" defaultRowHeight="12.75"/>
  <cols>
    <col min="1" max="1" width="9.7109375" style="1" customWidth="1"/>
    <col min="2" max="2" width="10.7109375" style="1" customWidth="1"/>
    <col min="3" max="3" width="12.8515625" style="1" bestFit="1" customWidth="1"/>
    <col min="4" max="4" width="14.00390625" style="1" customWidth="1"/>
    <col min="5" max="5" width="15.421875" style="1" customWidth="1"/>
    <col min="6" max="6" width="14.57421875" style="1" customWidth="1"/>
    <col min="7" max="7" width="12.00390625" style="1" bestFit="1" customWidth="1"/>
    <col min="8" max="8" width="13.8515625" style="1" customWidth="1"/>
    <col min="9" max="9" width="12.57421875" style="1" customWidth="1"/>
    <col min="10" max="10" width="14.421875" style="1" customWidth="1"/>
    <col min="11" max="12" width="10.7109375" style="1" customWidth="1"/>
    <col min="13" max="18" width="12.57421875" style="1" customWidth="1"/>
    <col min="19" max="20" width="11.28125" style="1" customWidth="1"/>
    <col min="21" max="21" width="12.57421875" style="1" customWidth="1"/>
    <col min="22" max="24" width="13.8515625" style="1" customWidth="1"/>
    <col min="25" max="26" width="12.57421875" style="1" customWidth="1"/>
    <col min="27" max="27" width="15.140625" style="1" customWidth="1"/>
    <col min="28" max="28" width="13.8515625" style="1" customWidth="1"/>
    <col min="29" max="29" width="15.140625" style="1" customWidth="1"/>
    <col min="30" max="30" width="12.57421875" style="1" customWidth="1"/>
    <col min="31" max="31" width="15.140625" style="1" customWidth="1"/>
    <col min="32" max="33" width="12.57421875" style="1" customWidth="1"/>
    <col min="34" max="34" width="19.00390625" style="1" customWidth="1"/>
    <col min="35" max="35" width="15.140625" style="1" customWidth="1"/>
    <col min="36" max="37" width="12.57421875" style="1" customWidth="1"/>
    <col min="38" max="38" width="15.140625" style="1" customWidth="1"/>
    <col min="39" max="42" width="12.57421875" style="1" customWidth="1"/>
    <col min="43" max="43" width="13.8515625" style="1" customWidth="1"/>
    <col min="44" max="55" width="12.57421875" style="1" customWidth="1"/>
    <col min="56" max="57" width="16.421875" style="1" customWidth="1"/>
    <col min="58" max="60" width="19.00390625" style="1" customWidth="1"/>
    <col min="61" max="64" width="12.57421875" style="1" customWidth="1"/>
    <col min="65" max="65" width="13.8515625" style="1" customWidth="1"/>
    <col min="66" max="66" width="15.140625" style="1" customWidth="1"/>
    <col min="67" max="70" width="12.57421875" style="1" customWidth="1"/>
    <col min="71" max="71" width="13.8515625" style="1" customWidth="1"/>
    <col min="72" max="81" width="12.57421875" style="1" customWidth="1"/>
    <col min="82" max="82" width="15.140625" style="1" customWidth="1"/>
    <col min="83" max="94" width="12.57421875" style="1" customWidth="1"/>
    <col min="95" max="95" width="13.8515625" style="1" customWidth="1"/>
    <col min="96" max="130" width="12.57421875" style="1" customWidth="1"/>
    <col min="131" max="131" width="6.140625" style="1" customWidth="1"/>
    <col min="132" max="132" width="8.7109375" style="1" customWidth="1"/>
    <col min="133" max="133" width="11.28125" style="1" customWidth="1"/>
    <col min="134" max="134" width="13.8515625" style="1" customWidth="1"/>
    <col min="135" max="135" width="12.57421875" style="1" customWidth="1"/>
    <col min="136" max="137" width="15.140625" style="1" customWidth="1"/>
    <col min="138" max="141" width="12.57421875" style="1" customWidth="1"/>
    <col min="142" max="142" width="15.140625" style="1" customWidth="1"/>
    <col min="143" max="143" width="13.8515625" style="1" customWidth="1"/>
    <col min="144" max="144" width="17.7109375" style="1" customWidth="1"/>
    <col min="145" max="145" width="13.8515625" style="1" customWidth="1"/>
    <col min="146" max="151" width="12.57421875" style="1" customWidth="1"/>
    <col min="152" max="153" width="13.8515625" style="1" customWidth="1"/>
    <col min="154" max="16384" width="12.57421875" style="1" customWidth="1"/>
  </cols>
  <sheetData>
    <row r="1" spans="10:12" ht="12.75">
      <c r="J1"/>
      <c r="K1" s="46"/>
      <c r="L1" s="46"/>
    </row>
    <row r="2" spans="10:13" ht="12.75">
      <c r="J2"/>
      <c r="K2" s="3"/>
      <c r="L2" s="3"/>
      <c r="M2" s="2"/>
    </row>
    <row r="3" spans="10:13" ht="12.75">
      <c r="J3"/>
      <c r="K3"/>
      <c r="L3"/>
      <c r="M3" s="2"/>
    </row>
    <row r="4" spans="10:30" s="6" customFormat="1" ht="12.75">
      <c r="J4"/>
      <c r="K4"/>
      <c r="L4"/>
      <c r="M4" s="5"/>
      <c r="AD4" s="7"/>
    </row>
    <row r="5" spans="3:30" s="6" customFormat="1" ht="12.75">
      <c r="C5" s="109" t="s">
        <v>82</v>
      </c>
      <c r="D5" s="104"/>
      <c r="E5" s="104"/>
      <c r="F5" s="104"/>
      <c r="G5" s="104"/>
      <c r="H5" s="105"/>
      <c r="I5"/>
      <c r="J5"/>
      <c r="K5"/>
      <c r="L5"/>
      <c r="M5"/>
      <c r="AD5" s="7"/>
    </row>
    <row r="6" spans="3:30" ht="12.75">
      <c r="C6" s="156" t="s">
        <v>136</v>
      </c>
      <c r="D6" s="101"/>
      <c r="E6" s="101"/>
      <c r="F6" s="101"/>
      <c r="G6" s="101"/>
      <c r="H6" s="102"/>
      <c r="I6"/>
      <c r="J6"/>
      <c r="K6"/>
      <c r="L6"/>
      <c r="M6"/>
      <c r="Z6" s="8"/>
      <c r="AA6" s="8"/>
      <c r="AD6" s="9"/>
    </row>
    <row r="7" spans="3:30" ht="12.75">
      <c r="C7" s="93" t="s">
        <v>15</v>
      </c>
      <c r="D7" s="93" t="s">
        <v>97</v>
      </c>
      <c r="E7" s="93" t="s">
        <v>98</v>
      </c>
      <c r="F7" s="94" t="s">
        <v>99</v>
      </c>
      <c r="G7" s="95" t="s">
        <v>100</v>
      </c>
      <c r="H7" s="94" t="s">
        <v>101</v>
      </c>
      <c r="I7"/>
      <c r="J7"/>
      <c r="K7"/>
      <c r="L7"/>
      <c r="M7" s="2"/>
      <c r="O7" s="12"/>
      <c r="Q7" s="13"/>
      <c r="T7" s="14"/>
      <c r="W7" s="8"/>
      <c r="X7" s="8"/>
      <c r="Y7" s="8"/>
      <c r="Z7" s="8"/>
      <c r="AA7" s="8"/>
      <c r="AD7" s="9"/>
    </row>
    <row r="8" spans="3:30" ht="12.75">
      <c r="C8" s="38"/>
      <c r="D8" s="39" t="s">
        <v>31</v>
      </c>
      <c r="E8" s="45" t="s">
        <v>78</v>
      </c>
      <c r="F8" s="39" t="s">
        <v>4</v>
      </c>
      <c r="G8" s="39" t="s">
        <v>61</v>
      </c>
      <c r="H8" s="121" t="s">
        <v>32</v>
      </c>
      <c r="I8"/>
      <c r="J8"/>
      <c r="K8"/>
      <c r="L8"/>
      <c r="M8" s="2"/>
      <c r="O8" s="12"/>
      <c r="Q8" s="13"/>
      <c r="R8" s="9"/>
      <c r="S8" s="16"/>
      <c r="T8" s="14"/>
      <c r="U8" s="8"/>
      <c r="V8" s="4"/>
      <c r="W8" s="8"/>
      <c r="X8" s="8"/>
      <c r="Y8" s="8"/>
      <c r="Z8" s="8"/>
      <c r="AA8" s="8"/>
      <c r="AB8" s="8"/>
      <c r="AC8" s="8"/>
      <c r="AD8" s="9"/>
    </row>
    <row r="9" spans="3:30" ht="12.75">
      <c r="C9" s="39" t="s">
        <v>0</v>
      </c>
      <c r="D9" s="39" t="s">
        <v>1</v>
      </c>
      <c r="E9" s="45" t="s">
        <v>4</v>
      </c>
      <c r="F9" s="39" t="s">
        <v>30</v>
      </c>
      <c r="G9" s="39" t="s">
        <v>4</v>
      </c>
      <c r="H9" s="121" t="s">
        <v>4</v>
      </c>
      <c r="I9"/>
      <c r="J9"/>
      <c r="K9"/>
      <c r="L9"/>
      <c r="M9" s="2"/>
      <c r="O9" s="12"/>
      <c r="Q9" s="13"/>
      <c r="R9" s="9"/>
      <c r="S9" s="16"/>
      <c r="T9" s="14"/>
      <c r="U9" s="8"/>
      <c r="V9" s="4"/>
      <c r="W9" s="8"/>
      <c r="X9" s="8"/>
      <c r="Y9" s="8"/>
      <c r="Z9" s="8"/>
      <c r="AA9" s="8"/>
      <c r="AB9" s="8"/>
      <c r="AC9" s="8"/>
      <c r="AD9" s="9"/>
    </row>
    <row r="10" spans="3:30" ht="13.5">
      <c r="C10" s="40" t="s">
        <v>29</v>
      </c>
      <c r="D10" s="40" t="s">
        <v>8</v>
      </c>
      <c r="E10" s="49" t="s">
        <v>30</v>
      </c>
      <c r="F10" s="40" t="s">
        <v>44</v>
      </c>
      <c r="G10" s="40" t="s">
        <v>5</v>
      </c>
      <c r="H10" s="37" t="s">
        <v>5</v>
      </c>
      <c r="I10"/>
      <c r="J10"/>
      <c r="K10"/>
      <c r="L10"/>
      <c r="M10" s="2"/>
      <c r="O10" s="12"/>
      <c r="Q10" s="13"/>
      <c r="R10" s="9"/>
      <c r="S10" s="16"/>
      <c r="T10" s="14"/>
      <c r="U10" s="8"/>
      <c r="V10" s="4"/>
      <c r="W10" s="8"/>
      <c r="X10" s="8"/>
      <c r="Y10" s="8"/>
      <c r="Z10" s="8"/>
      <c r="AA10" s="8"/>
      <c r="AB10" s="8"/>
      <c r="AC10" s="8"/>
      <c r="AD10" s="9"/>
    </row>
    <row r="11" spans="3:30" ht="12.75">
      <c r="C11" s="22">
        <v>0</v>
      </c>
      <c r="D11" s="22"/>
      <c r="E11" s="63"/>
      <c r="F11" s="44"/>
      <c r="G11" s="132">
        <f>Detail!M27</f>
        <v>0</v>
      </c>
      <c r="H11" s="170"/>
      <c r="I11"/>
      <c r="J11"/>
      <c r="K11"/>
      <c r="L11"/>
      <c r="M11" s="2"/>
      <c r="O11" s="12"/>
      <c r="Q11" s="13"/>
      <c r="R11" s="9"/>
      <c r="S11" s="16"/>
      <c r="T11" s="14"/>
      <c r="U11" s="8"/>
      <c r="V11" s="4"/>
      <c r="W11" s="8"/>
      <c r="X11" s="8"/>
      <c r="Y11" s="8"/>
      <c r="Z11" s="8"/>
      <c r="AA11" s="8"/>
      <c r="AB11" s="8"/>
      <c r="AC11" s="8"/>
      <c r="AD11" s="9"/>
    </row>
    <row r="12" spans="3:30" ht="12.75">
      <c r="C12" s="22">
        <v>1</v>
      </c>
      <c r="D12" s="130">
        <f>Sheet1!C13</f>
        <v>100</v>
      </c>
      <c r="E12" s="64"/>
      <c r="F12" s="133"/>
      <c r="G12" s="132">
        <f>Detail!M28</f>
        <v>-47.48566699491259</v>
      </c>
      <c r="H12" s="170">
        <f>Detail!L131</f>
        <v>0</v>
      </c>
      <c r="I12"/>
      <c r="J12"/>
      <c r="K12"/>
      <c r="L12"/>
      <c r="M12" s="2"/>
      <c r="O12" s="12"/>
      <c r="Q12" s="13"/>
      <c r="R12" s="9"/>
      <c r="S12" s="16"/>
      <c r="T12" s="14"/>
      <c r="U12" s="8"/>
      <c r="V12" s="4"/>
      <c r="W12" s="8"/>
      <c r="X12" s="8"/>
      <c r="Y12" s="8"/>
      <c r="Z12" s="8"/>
      <c r="AA12" s="8"/>
      <c r="AB12" s="8"/>
      <c r="AC12" s="8"/>
      <c r="AD12" s="9"/>
    </row>
    <row r="13" spans="3:30" ht="12.75">
      <c r="C13" s="22">
        <v>2</v>
      </c>
      <c r="D13" s="130">
        <f>Sheet1!C14</f>
        <v>90</v>
      </c>
      <c r="E13" s="159" t="s">
        <v>112</v>
      </c>
      <c r="F13" s="133">
        <f>Detail!F132</f>
        <v>75.87</v>
      </c>
      <c r="G13" s="132">
        <f>Detail!M29</f>
        <v>-40.581763979977865</v>
      </c>
      <c r="H13" s="170">
        <f>Detail!L132</f>
        <v>32.16803375147826</v>
      </c>
      <c r="I13"/>
      <c r="J13"/>
      <c r="K13"/>
      <c r="L13"/>
      <c r="M13" s="2"/>
      <c r="O13" s="12"/>
      <c r="Q13" s="13"/>
      <c r="R13" s="9"/>
      <c r="S13" s="16"/>
      <c r="T13" s="14"/>
      <c r="U13" s="8"/>
      <c r="V13" s="4"/>
      <c r="W13" s="8"/>
      <c r="X13" s="8"/>
      <c r="Y13" s="8"/>
      <c r="Z13" s="8"/>
      <c r="AA13" s="8"/>
      <c r="AB13" s="8"/>
      <c r="AC13" s="8"/>
      <c r="AD13" s="9"/>
    </row>
    <row r="14" spans="3:30" ht="12.75">
      <c r="C14" s="22">
        <v>3</v>
      </c>
      <c r="D14" s="130">
        <f>Sheet1!C15</f>
        <v>81</v>
      </c>
      <c r="E14" s="64">
        <f>Detail!E133</f>
        <v>0.27</v>
      </c>
      <c r="F14" s="133">
        <f>Detail!F133</f>
        <v>19.683000000000003</v>
      </c>
      <c r="G14" s="132">
        <f>Detail!M30</f>
        <v>-34.21737772445553</v>
      </c>
      <c r="H14" s="170">
        <f>Detail!L133</f>
        <v>27.123162070294185</v>
      </c>
      <c r="I14"/>
      <c r="J14"/>
      <c r="K14"/>
      <c r="L14"/>
      <c r="M14" s="2"/>
      <c r="O14" s="12"/>
      <c r="Q14" s="13"/>
      <c r="R14" s="9"/>
      <c r="S14" s="16"/>
      <c r="T14" s="14"/>
      <c r="U14" s="8"/>
      <c r="V14" s="4"/>
      <c r="W14" s="8"/>
      <c r="X14" s="8"/>
      <c r="Y14" s="8"/>
      <c r="Z14" s="8"/>
      <c r="AA14" s="8"/>
      <c r="AB14" s="8"/>
      <c r="AC14" s="8"/>
      <c r="AD14" s="9"/>
    </row>
    <row r="15" spans="3:30" ht="12.75">
      <c r="C15" s="22">
        <v>4</v>
      </c>
      <c r="D15" s="130">
        <f>Sheet1!C16</f>
        <v>72.9</v>
      </c>
      <c r="E15" s="64">
        <f>Detail!E134</f>
        <v>0.27</v>
      </c>
      <c r="F15" s="133">
        <f>Detail!F134</f>
        <v>17.714700000000004</v>
      </c>
      <c r="G15" s="132">
        <f>Detail!M31</f>
        <v>-28.327995404458704</v>
      </c>
      <c r="H15" s="170">
        <f>Detail!L134</f>
        <v>22.454812775805976</v>
      </c>
      <c r="I15"/>
      <c r="J15"/>
      <c r="K15"/>
      <c r="L15"/>
      <c r="M15" s="2"/>
      <c r="O15" s="12"/>
      <c r="Q15" s="13"/>
      <c r="R15" s="9"/>
      <c r="S15" s="16"/>
      <c r="T15" s="14"/>
      <c r="U15" s="8"/>
      <c r="V15" s="4"/>
      <c r="W15" s="8"/>
      <c r="X15" s="8"/>
      <c r="Y15" s="8"/>
      <c r="Z15" s="8"/>
      <c r="AA15" s="8"/>
      <c r="AB15" s="8"/>
      <c r="AC15" s="8"/>
      <c r="AD15" s="9"/>
    </row>
    <row r="16" spans="3:30" ht="12.75">
      <c r="C16" s="22">
        <v>5</v>
      </c>
      <c r="D16" s="130">
        <f>Sheet1!C17</f>
        <v>65.61000000000001</v>
      </c>
      <c r="E16" s="64">
        <f>Detail!E135</f>
        <v>0.27</v>
      </c>
      <c r="F16" s="133">
        <f>Detail!F135</f>
        <v>15.943230000000005</v>
      </c>
      <c r="G16" s="132">
        <f>Detail!M32</f>
        <v>-22.854816198132994</v>
      </c>
      <c r="H16" s="170">
        <f>Detail!L135</f>
        <v>18.116376094644465</v>
      </c>
      <c r="I16"/>
      <c r="J16"/>
      <c r="K16"/>
      <c r="L16"/>
      <c r="M16" s="2"/>
      <c r="O16" s="12"/>
      <c r="Q16" s="13"/>
      <c r="R16" s="9"/>
      <c r="S16" s="16"/>
      <c r="T16" s="14"/>
      <c r="U16" s="8"/>
      <c r="V16" s="4"/>
      <c r="W16" s="8"/>
      <c r="X16" s="8"/>
      <c r="Y16" s="8"/>
      <c r="Z16" s="8"/>
      <c r="AA16" s="8"/>
      <c r="AB16" s="8"/>
      <c r="AC16" s="8"/>
      <c r="AD16" s="9"/>
    </row>
    <row r="17" spans="3:30" ht="12.75">
      <c r="C17" s="22">
        <v>6</v>
      </c>
      <c r="D17" s="130">
        <f>Sheet1!C18</f>
        <v>59.049000000000014</v>
      </c>
      <c r="E17" s="64">
        <f>Detail!E136</f>
        <v>0.27</v>
      </c>
      <c r="F17" s="133">
        <f>Detail!F136</f>
        <v>14.348907000000006</v>
      </c>
      <c r="G17" s="132">
        <f>Detail!M33</f>
        <v>-17.74412833582825</v>
      </c>
      <c r="H17" s="170">
        <f>Detail!L136</f>
        <v>14.065276203348446</v>
      </c>
      <c r="I17"/>
      <c r="J17"/>
      <c r="K17"/>
      <c r="L17"/>
      <c r="M17" s="2"/>
      <c r="O17" s="12"/>
      <c r="Q17" s="13"/>
      <c r="R17" s="9"/>
      <c r="S17" s="16"/>
      <c r="T17" s="14"/>
      <c r="U17" s="8"/>
      <c r="V17" s="4"/>
      <c r="W17" s="8"/>
      <c r="X17" s="8"/>
      <c r="Y17" s="8"/>
      <c r="Z17" s="8"/>
      <c r="AA17" s="8"/>
      <c r="AB17" s="8"/>
      <c r="AC17" s="8"/>
      <c r="AD17" s="9"/>
    </row>
    <row r="18" spans="3:30" ht="13.5" customHeight="1">
      <c r="C18" s="22">
        <v>7</v>
      </c>
      <c r="D18" s="130">
        <f>Sheet1!C19</f>
        <v>53.144100000000016</v>
      </c>
      <c r="E18" s="64">
        <f>Detail!E137</f>
        <v>0.27</v>
      </c>
      <c r="F18" s="133">
        <f>Detail!F137</f>
        <v>12.914016300000004</v>
      </c>
      <c r="G18" s="132">
        <f>Detail!M34</f>
        <v>-12.946744822779586</v>
      </c>
      <c r="H18" s="170">
        <f>Detail!L137</f>
        <v>10.2625239414538</v>
      </c>
      <c r="I18"/>
      <c r="J18"/>
      <c r="K18"/>
      <c r="L18"/>
      <c r="M18" s="2"/>
      <c r="O18" s="12"/>
      <c r="P18" s="12"/>
      <c r="Q18" s="13"/>
      <c r="R18" s="9"/>
      <c r="S18" s="16"/>
      <c r="T18" s="14"/>
      <c r="U18" s="8"/>
      <c r="V18" s="4"/>
      <c r="W18" s="8"/>
      <c r="X18" s="8"/>
      <c r="Y18" s="8"/>
      <c r="Z18" s="8"/>
      <c r="AA18" s="8"/>
      <c r="AB18" s="8"/>
      <c r="AC18" s="8"/>
      <c r="AD18" s="9"/>
    </row>
    <row r="19" spans="3:30" ht="12.75" customHeight="1">
      <c r="C19" s="22">
        <v>8</v>
      </c>
      <c r="D19" s="130">
        <f>Sheet1!C20</f>
        <v>47.829690000000014</v>
      </c>
      <c r="E19" s="64">
        <f>Detail!E138</f>
        <v>0.27</v>
      </c>
      <c r="F19" s="133">
        <f>Detail!F138</f>
        <v>11.622614670000004</v>
      </c>
      <c r="G19" s="132">
        <f>Detail!M35</f>
        <v>-8.417491713473172</v>
      </c>
      <c r="H19" s="170">
        <f>Detail!L138</f>
        <v>6.672311180839451</v>
      </c>
      <c r="I19"/>
      <c r="J19"/>
      <c r="K19"/>
      <c r="L19"/>
      <c r="M19" s="2"/>
      <c r="O19" s="12"/>
      <c r="P19" s="12"/>
      <c r="Q19" s="13"/>
      <c r="R19" s="9"/>
      <c r="S19" s="16"/>
      <c r="T19" s="14"/>
      <c r="U19" s="8"/>
      <c r="V19" s="4"/>
      <c r="W19" s="8"/>
      <c r="X19" s="8"/>
      <c r="Y19" s="8"/>
      <c r="Z19" s="8"/>
      <c r="AA19" s="8"/>
      <c r="AB19" s="8"/>
      <c r="AC19" s="8"/>
      <c r="AD19" s="9"/>
    </row>
    <row r="20" spans="3:30" ht="12.75" customHeight="1">
      <c r="C20" s="22">
        <v>9</v>
      </c>
      <c r="D20" s="130">
        <f>Sheet1!C21</f>
        <v>43.04672100000001</v>
      </c>
      <c r="E20" s="64">
        <f>Detail!E139</f>
        <v>0.27</v>
      </c>
      <c r="F20" s="133">
        <f>Detail!F139</f>
        <v>10.460353203000004</v>
      </c>
      <c r="G20" s="132">
        <f>Detail!M36</f>
        <v>-4.114743411205415</v>
      </c>
      <c r="H20" s="170">
        <f>Detail!L139</f>
        <v>3.261642470633701</v>
      </c>
      <c r="I20"/>
      <c r="J20"/>
      <c r="K20"/>
      <c r="L20"/>
      <c r="M20" s="2"/>
      <c r="O20" s="12"/>
      <c r="P20" s="12"/>
      <c r="Q20" s="13"/>
      <c r="R20" s="9"/>
      <c r="S20" s="16"/>
      <c r="T20" s="14"/>
      <c r="U20" s="8"/>
      <c r="V20" s="4"/>
      <c r="W20" s="8"/>
      <c r="X20" s="8"/>
      <c r="Y20" s="8"/>
      <c r="Z20" s="8"/>
      <c r="AA20" s="8"/>
      <c r="AB20" s="8"/>
      <c r="AC20" s="8"/>
      <c r="AD20" s="9"/>
    </row>
    <row r="21" spans="3:30" ht="12.75" customHeight="1">
      <c r="C21" s="23">
        <v>10</v>
      </c>
      <c r="D21" s="138">
        <f>Sheet1!C22</f>
        <v>38.742048900000015</v>
      </c>
      <c r="E21" s="145">
        <f>Detail!E140</f>
        <v>0.27</v>
      </c>
      <c r="F21" s="141">
        <f>Detail!F140</f>
        <v>9.414317882700004</v>
      </c>
      <c r="G21" s="140">
        <f>Detail!M37</f>
        <v>0</v>
      </c>
      <c r="H21" s="171">
        <f>Detail!L140</f>
        <v>0</v>
      </c>
      <c r="I21"/>
      <c r="J21"/>
      <c r="K21"/>
      <c r="L21"/>
      <c r="M21" s="2"/>
      <c r="O21" s="12"/>
      <c r="P21" s="12"/>
      <c r="Q21" s="13"/>
      <c r="R21" s="9"/>
      <c r="S21" s="16"/>
      <c r="T21" s="14"/>
      <c r="U21" s="8"/>
      <c r="V21" s="4"/>
      <c r="W21" s="8"/>
      <c r="X21" s="8"/>
      <c r="Y21" s="8"/>
      <c r="Z21" s="8"/>
      <c r="AA21" s="8"/>
      <c r="AB21" s="8"/>
      <c r="AC21" s="8"/>
      <c r="AD21" s="9"/>
    </row>
    <row r="22" spans="2:30" ht="12.75" customHeight="1">
      <c r="B22"/>
      <c r="C22"/>
      <c r="D22"/>
      <c r="E22"/>
      <c r="F22"/>
      <c r="G22"/>
      <c r="H22"/>
      <c r="I22"/>
      <c r="J22"/>
      <c r="K22"/>
      <c r="L22"/>
      <c r="M22" s="2"/>
      <c r="O22" s="12"/>
      <c r="P22" s="12"/>
      <c r="Q22" s="13"/>
      <c r="R22" s="9"/>
      <c r="S22" s="16"/>
      <c r="T22" s="14"/>
      <c r="U22" s="8"/>
      <c r="V22" s="4"/>
      <c r="W22" s="8"/>
      <c r="X22" s="8"/>
      <c r="Y22" s="8"/>
      <c r="Z22" s="8"/>
      <c r="AA22" s="8"/>
      <c r="AB22" s="8"/>
      <c r="AC22" s="8"/>
      <c r="AD22" s="9"/>
    </row>
    <row r="23" spans="2:30" ht="12.75" customHeight="1">
      <c r="B23"/>
      <c r="C23"/>
      <c r="D23"/>
      <c r="E23"/>
      <c r="F23"/>
      <c r="G23"/>
      <c r="H23"/>
      <c r="I23"/>
      <c r="J23"/>
      <c r="K23"/>
      <c r="L23"/>
      <c r="M23"/>
      <c r="O23" s="12"/>
      <c r="P23" s="12"/>
      <c r="Q23" s="13"/>
      <c r="R23" s="9"/>
      <c r="S23" s="16"/>
      <c r="T23" s="14"/>
      <c r="U23" s="8"/>
      <c r="V23" s="4"/>
      <c r="W23" s="8"/>
      <c r="X23" s="8"/>
      <c r="Y23" s="8"/>
      <c r="Z23" s="8"/>
      <c r="AA23" s="8"/>
      <c r="AB23" s="8"/>
      <c r="AC23" s="8"/>
      <c r="AD23" s="9"/>
    </row>
    <row r="24" spans="2:30" ht="3.75" customHeight="1">
      <c r="B24"/>
      <c r="C24"/>
      <c r="D24"/>
      <c r="E24"/>
      <c r="F24"/>
      <c r="G24"/>
      <c r="H24"/>
      <c r="I24"/>
      <c r="J24"/>
      <c r="K24"/>
      <c r="L24"/>
      <c r="M24"/>
      <c r="O24" s="12"/>
      <c r="P24" s="12"/>
      <c r="Q24" s="13"/>
      <c r="R24" s="9"/>
      <c r="S24" s="16"/>
      <c r="T24" s="14"/>
      <c r="U24" s="8"/>
      <c r="V24" s="4"/>
      <c r="W24" s="8"/>
      <c r="X24" s="8"/>
      <c r="Y24" s="8"/>
      <c r="Z24" s="8"/>
      <c r="AA24" s="8"/>
      <c r="AB24" s="8"/>
      <c r="AC24" s="8"/>
      <c r="AD24" s="9"/>
    </row>
    <row r="25" spans="2:30" ht="12.75">
      <c r="B25"/>
      <c r="C25"/>
      <c r="D25"/>
      <c r="E25"/>
      <c r="F25"/>
      <c r="G25"/>
      <c r="H25"/>
      <c r="I25"/>
      <c r="J25"/>
      <c r="K25"/>
      <c r="L25"/>
      <c r="M25"/>
      <c r="N25" s="17"/>
      <c r="O25" s="17"/>
      <c r="P25" s="17"/>
      <c r="Q25" s="18"/>
      <c r="R25" s="19"/>
      <c r="S25" s="20"/>
      <c r="T25" s="14"/>
      <c r="U25" s="8"/>
      <c r="V25" s="4"/>
      <c r="W25" s="8"/>
      <c r="X25" s="8"/>
      <c r="Y25" s="8"/>
      <c r="Z25" s="8"/>
      <c r="AA25" s="8"/>
      <c r="AB25" s="8"/>
      <c r="AC25" s="8"/>
      <c r="AD25" s="19"/>
    </row>
    <row r="26" spans="2:30" ht="12.75">
      <c r="B26"/>
      <c r="C26" t="s">
        <v>113</v>
      </c>
      <c r="D26"/>
      <c r="E26"/>
      <c r="F26"/>
      <c r="G26"/>
      <c r="H26"/>
      <c r="I26"/>
      <c r="J26"/>
      <c r="K26"/>
      <c r="L26"/>
      <c r="M26"/>
      <c r="N26" s="17"/>
      <c r="O26" s="17"/>
      <c r="P26" s="17"/>
      <c r="Q26" s="18"/>
      <c r="R26" s="19"/>
      <c r="S26" s="20"/>
      <c r="T26" s="14"/>
      <c r="U26" s="8"/>
      <c r="V26" s="4"/>
      <c r="W26" s="8"/>
      <c r="X26" s="8"/>
      <c r="Y26" s="8"/>
      <c r="Z26" s="8"/>
      <c r="AA26" s="8"/>
      <c r="AB26" s="8"/>
      <c r="AC26" s="8"/>
      <c r="AD26" s="19"/>
    </row>
    <row r="27" spans="2:30" ht="12.75">
      <c r="B27"/>
      <c r="C27" t="s">
        <v>138</v>
      </c>
      <c r="D27"/>
      <c r="E27"/>
      <c r="F27"/>
      <c r="G27"/>
      <c r="H27"/>
      <c r="I27"/>
      <c r="J27"/>
      <c r="K27"/>
      <c r="L27"/>
      <c r="M27"/>
      <c r="N27" s="17"/>
      <c r="O27" s="17"/>
      <c r="P27" s="17"/>
      <c r="Q27" s="18"/>
      <c r="R27" s="19"/>
      <c r="S27" s="20"/>
      <c r="T27" s="14"/>
      <c r="U27" s="8"/>
      <c r="V27" s="4"/>
      <c r="W27" s="8"/>
      <c r="X27" s="8"/>
      <c r="Y27" s="8"/>
      <c r="Z27" s="8"/>
      <c r="AA27" s="8"/>
      <c r="AB27" s="8"/>
      <c r="AC27" s="8"/>
      <c r="AD27" s="19"/>
    </row>
    <row r="28" spans="2:30" ht="12.75">
      <c r="B28"/>
      <c r="C28"/>
      <c r="D28"/>
      <c r="E28"/>
      <c r="F28"/>
      <c r="G28"/>
      <c r="H28"/>
      <c r="I28"/>
      <c r="J28"/>
      <c r="K28"/>
      <c r="L28"/>
      <c r="M28"/>
      <c r="N28" s="17"/>
      <c r="O28" s="17"/>
      <c r="P28" s="17"/>
      <c r="Q28" s="18"/>
      <c r="R28" s="19"/>
      <c r="S28" s="20"/>
      <c r="T28" s="14"/>
      <c r="U28" s="8"/>
      <c r="V28" s="4"/>
      <c r="W28" s="8"/>
      <c r="X28" s="8"/>
      <c r="Y28" s="8"/>
      <c r="Z28" s="8"/>
      <c r="AA28" s="8"/>
      <c r="AB28" s="8"/>
      <c r="AC28" s="8"/>
      <c r="AD28" s="19"/>
    </row>
    <row r="29" spans="2:30" ht="12.75">
      <c r="B29"/>
      <c r="C29"/>
      <c r="D29"/>
      <c r="E29"/>
      <c r="F29"/>
      <c r="G29"/>
      <c r="H29"/>
      <c r="I29"/>
      <c r="J29"/>
      <c r="K29"/>
      <c r="L29"/>
      <c r="M29"/>
      <c r="N29" s="17"/>
      <c r="O29" s="17"/>
      <c r="P29" s="17"/>
      <c r="Q29" s="18"/>
      <c r="R29" s="19"/>
      <c r="S29" s="20"/>
      <c r="T29" s="14"/>
      <c r="U29" s="8"/>
      <c r="V29" s="4"/>
      <c r="W29" s="8"/>
      <c r="X29" s="8"/>
      <c r="Y29" s="8"/>
      <c r="Z29" s="8"/>
      <c r="AA29" s="8"/>
      <c r="AB29" s="8"/>
      <c r="AC29" s="8"/>
      <c r="AD29" s="19"/>
    </row>
    <row r="30" spans="2:30" ht="12.75">
      <c r="B30"/>
      <c r="C30"/>
      <c r="D30"/>
      <c r="E30"/>
      <c r="F30"/>
      <c r="G30"/>
      <c r="H30"/>
      <c r="I30"/>
      <c r="J30"/>
      <c r="K30"/>
      <c r="L30"/>
      <c r="M30"/>
      <c r="N30" s="17"/>
      <c r="O30" s="17"/>
      <c r="P30" s="17"/>
      <c r="Q30" s="18"/>
      <c r="R30" s="19"/>
      <c r="S30" s="20"/>
      <c r="T30" s="14"/>
      <c r="U30" s="8"/>
      <c r="V30" s="4"/>
      <c r="W30" s="8"/>
      <c r="X30" s="8"/>
      <c r="Y30" s="8"/>
      <c r="Z30" s="8"/>
      <c r="AA30" s="8"/>
      <c r="AB30" s="8"/>
      <c r="AC30" s="8"/>
      <c r="AD30" s="19"/>
    </row>
    <row r="31" spans="2:30" ht="12.75">
      <c r="B31"/>
      <c r="C31"/>
      <c r="D31"/>
      <c r="E31"/>
      <c r="F31"/>
      <c r="G31"/>
      <c r="H31"/>
      <c r="I31"/>
      <c r="J31"/>
      <c r="K31"/>
      <c r="L31"/>
      <c r="M31"/>
      <c r="N31" s="17"/>
      <c r="O31" s="17"/>
      <c r="P31" s="17"/>
      <c r="R31" s="19"/>
      <c r="S31" s="20"/>
      <c r="T31" s="14"/>
      <c r="U31" s="8"/>
      <c r="V31" s="4"/>
      <c r="W31" s="8"/>
      <c r="X31" s="8"/>
      <c r="Y31" s="8"/>
      <c r="Z31" s="8"/>
      <c r="AA31" s="8"/>
      <c r="AB31" s="8"/>
      <c r="AC31" s="8"/>
      <c r="AD31" s="19"/>
    </row>
    <row r="32" spans="2:30" ht="12.75">
      <c r="B32"/>
      <c r="C32"/>
      <c r="D32"/>
      <c r="E32"/>
      <c r="F32"/>
      <c r="G32"/>
      <c r="H32"/>
      <c r="I32"/>
      <c r="J32"/>
      <c r="K32"/>
      <c r="L32"/>
      <c r="M32"/>
      <c r="N32" s="17"/>
      <c r="O32" s="17"/>
      <c r="P32" s="17"/>
      <c r="R32" s="19"/>
      <c r="S32" s="20"/>
      <c r="T32" s="14"/>
      <c r="U32" s="14"/>
      <c r="V32" s="4"/>
      <c r="W32" s="8"/>
      <c r="X32" s="8"/>
      <c r="Y32" s="8"/>
      <c r="Z32" s="8"/>
      <c r="AA32" s="8"/>
      <c r="AB32" s="8"/>
      <c r="AC32" s="8"/>
      <c r="AD32" s="19"/>
    </row>
    <row r="33" spans="2:30" ht="12.75">
      <c r="B33"/>
      <c r="C33"/>
      <c r="D33"/>
      <c r="E33"/>
      <c r="F33"/>
      <c r="G33"/>
      <c r="H33"/>
      <c r="I33"/>
      <c r="J33"/>
      <c r="K33"/>
      <c r="L33"/>
      <c r="M33"/>
      <c r="N33" s="17"/>
      <c r="O33" s="17"/>
      <c r="P33" s="17"/>
      <c r="R33" s="19"/>
      <c r="S33" s="20"/>
      <c r="T33" s="14"/>
      <c r="U33" s="14"/>
      <c r="V33" s="4"/>
      <c r="W33" s="8"/>
      <c r="X33" s="8"/>
      <c r="Y33" s="8"/>
      <c r="Z33" s="8"/>
      <c r="AA33" s="8"/>
      <c r="AD33" s="19"/>
    </row>
    <row r="34" spans="2:30" ht="12.75">
      <c r="B34"/>
      <c r="C34"/>
      <c r="D34"/>
      <c r="E34"/>
      <c r="F34"/>
      <c r="G34"/>
      <c r="H34"/>
      <c r="I34"/>
      <c r="J34"/>
      <c r="K34"/>
      <c r="L34"/>
      <c r="M34"/>
      <c r="N34" s="17"/>
      <c r="O34" s="17"/>
      <c r="P34" s="17"/>
      <c r="R34" s="19"/>
      <c r="S34" s="20"/>
      <c r="T34" s="14"/>
      <c r="U34" s="14"/>
      <c r="V34" s="4"/>
      <c r="W34" s="8"/>
      <c r="X34" s="8"/>
      <c r="Y34" s="8"/>
      <c r="Z34" s="8"/>
      <c r="AA34" s="8"/>
      <c r="AD34" s="19"/>
    </row>
    <row r="35" spans="2:30" ht="3.75" customHeight="1">
      <c r="B35"/>
      <c r="C35"/>
      <c r="D35"/>
      <c r="E35"/>
      <c r="F35"/>
      <c r="G35"/>
      <c r="H35"/>
      <c r="I35"/>
      <c r="J35"/>
      <c r="K35"/>
      <c r="L35"/>
      <c r="M35"/>
      <c r="N35" s="17"/>
      <c r="O35" s="17"/>
      <c r="P35" s="17"/>
      <c r="R35" s="19"/>
      <c r="S35" s="20"/>
      <c r="T35" s="14"/>
      <c r="U35" s="14"/>
      <c r="V35" s="4"/>
      <c r="W35" s="8"/>
      <c r="X35" s="8"/>
      <c r="Y35" s="8"/>
      <c r="Z35" s="8"/>
      <c r="AA35" s="8"/>
      <c r="AD35" s="19"/>
    </row>
    <row r="36" spans="2:30" ht="12.75">
      <c r="B36"/>
      <c r="C36"/>
      <c r="D36"/>
      <c r="E36"/>
      <c r="F36"/>
      <c r="G36"/>
      <c r="H36"/>
      <c r="I36"/>
      <c r="J36"/>
      <c r="K36"/>
      <c r="L36"/>
      <c r="M36"/>
      <c r="N36" s="17"/>
      <c r="O36" s="17"/>
      <c r="P36" s="17"/>
      <c r="R36" s="19"/>
      <c r="S36" s="20"/>
      <c r="T36" s="14"/>
      <c r="U36" s="14"/>
      <c r="V36" s="4"/>
      <c r="W36" s="8"/>
      <c r="X36" s="8"/>
      <c r="Y36" s="8"/>
      <c r="Z36" s="8"/>
      <c r="AA36" s="8"/>
      <c r="AD36" s="19"/>
    </row>
    <row r="37" spans="2:30" ht="12.75">
      <c r="B37"/>
      <c r="C37"/>
      <c r="D37"/>
      <c r="E37"/>
      <c r="F37"/>
      <c r="G37"/>
      <c r="H37"/>
      <c r="I37"/>
      <c r="J37"/>
      <c r="K37"/>
      <c r="L37"/>
      <c r="M37"/>
      <c r="N37" s="17"/>
      <c r="O37" s="17"/>
      <c r="P37" s="17"/>
      <c r="R37" s="19"/>
      <c r="S37" s="20"/>
      <c r="T37" s="14"/>
      <c r="U37" s="14"/>
      <c r="V37" s="4"/>
      <c r="W37" s="8"/>
      <c r="X37" s="8"/>
      <c r="Y37" s="8"/>
      <c r="Z37" s="8"/>
      <c r="AA37" s="8"/>
      <c r="AD37" s="19"/>
    </row>
    <row r="38" spans="2:30" ht="3.75" customHeight="1">
      <c r="B38"/>
      <c r="C38"/>
      <c r="D38"/>
      <c r="E38"/>
      <c r="F38"/>
      <c r="G38"/>
      <c r="H38"/>
      <c r="I38"/>
      <c r="J38"/>
      <c r="K38"/>
      <c r="L38"/>
      <c r="M38"/>
      <c r="N38" s="8"/>
      <c r="O38" s="21"/>
      <c r="R38" s="19"/>
      <c r="AD38" s="19"/>
    </row>
    <row r="39" spans="1:13" ht="12.75">
      <c r="A39" s="2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>
      <c r="A40" s="2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94" spans="2:30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4"/>
      <c r="Q94" s="4"/>
      <c r="R94" s="21"/>
      <c r="S94" s="21"/>
      <c r="T94" s="21"/>
      <c r="U94" s="8"/>
      <c r="V94" s="21"/>
      <c r="AD94" s="9"/>
    </row>
    <row r="95" spans="2:30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4"/>
      <c r="Q95" s="4"/>
      <c r="R95" s="21"/>
      <c r="S95" s="21"/>
      <c r="T95" s="21"/>
      <c r="U95" s="8"/>
      <c r="V95" s="21"/>
      <c r="AD95" s="9"/>
    </row>
    <row r="96" spans="2:30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4"/>
      <c r="Q96" s="4"/>
      <c r="R96" s="21"/>
      <c r="S96" s="21"/>
      <c r="T96" s="21"/>
      <c r="U96" s="8"/>
      <c r="V96" s="21"/>
      <c r="AD96" s="9"/>
    </row>
    <row r="97" spans="2:30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4"/>
      <c r="Q97" s="4"/>
      <c r="R97" s="21"/>
      <c r="S97" s="21"/>
      <c r="T97" s="21"/>
      <c r="U97" s="8"/>
      <c r="V97" s="21"/>
      <c r="AD97" s="9"/>
    </row>
    <row r="174" spans="2:30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N174" s="8"/>
      <c r="Q174" s="8"/>
      <c r="AA174" s="9"/>
      <c r="AB174" s="12"/>
      <c r="AC174" s="12"/>
      <c r="AD174" s="12"/>
    </row>
    <row r="175" spans="2:30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N175" s="8"/>
      <c r="Q175" s="8"/>
      <c r="AA175" s="9"/>
      <c r="AB175" s="12"/>
      <c r="AC175" s="12"/>
      <c r="AD175" s="12"/>
    </row>
    <row r="176" spans="2:30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N176" s="8"/>
      <c r="Q176" s="8"/>
      <c r="AA176" s="9"/>
      <c r="AB176" s="12"/>
      <c r="AC176" s="12"/>
      <c r="AD176" s="12"/>
    </row>
    <row r="177" spans="2:30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N177" s="8"/>
      <c r="Q177" s="8"/>
      <c r="AA177" s="9"/>
      <c r="AB177" s="12"/>
      <c r="AC177" s="12"/>
      <c r="AD177" s="12"/>
    </row>
    <row r="178" spans="2:30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N178" s="8"/>
      <c r="Q178" s="8"/>
      <c r="AA178" s="9"/>
      <c r="AB178" s="12"/>
      <c r="AC178" s="12"/>
      <c r="AD178" s="12"/>
    </row>
    <row r="179" spans="2:30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N179" s="8"/>
      <c r="Q179" s="8"/>
      <c r="AA179" s="9"/>
      <c r="AB179" s="12"/>
      <c r="AC179" s="12"/>
      <c r="AD179" s="12"/>
    </row>
    <row r="180" spans="2:30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N180" s="8"/>
      <c r="Q180" s="8"/>
      <c r="AA180" s="9"/>
      <c r="AB180" s="12"/>
      <c r="AC180" s="12"/>
      <c r="AD180" s="12"/>
    </row>
    <row r="181" spans="2:30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N181" s="8"/>
      <c r="Q181" s="8"/>
      <c r="AA181" s="9"/>
      <c r="AB181" s="12"/>
      <c r="AC181" s="12"/>
      <c r="AD181" s="12"/>
    </row>
    <row r="182" spans="2:30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N182" s="8"/>
      <c r="Q182" s="8"/>
      <c r="AA182" s="9"/>
      <c r="AB182" s="12"/>
      <c r="AC182" s="12"/>
      <c r="AD182" s="12"/>
    </row>
    <row r="183" spans="2:30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N183" s="8"/>
      <c r="Q183" s="8"/>
      <c r="AA183" s="9"/>
      <c r="AB183" s="12"/>
      <c r="AC183" s="12"/>
      <c r="AD183" s="12"/>
    </row>
    <row r="184" spans="2:30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N184" s="8"/>
      <c r="Q184" s="8"/>
      <c r="AA184" s="9"/>
      <c r="AB184" s="12"/>
      <c r="AC184" s="12"/>
      <c r="AD184" s="12"/>
    </row>
    <row r="185" spans="2:30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N185" s="8"/>
      <c r="Q185" s="8"/>
      <c r="AA185" s="9"/>
      <c r="AB185" s="12"/>
      <c r="AC185" s="12"/>
      <c r="AD185" s="12"/>
    </row>
    <row r="186" spans="2:30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N186" s="8"/>
      <c r="Q186" s="8"/>
      <c r="AA186" s="9"/>
      <c r="AB186" s="12"/>
      <c r="AC186" s="12"/>
      <c r="AD186" s="12"/>
    </row>
    <row r="187" spans="2:30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N187" s="8"/>
      <c r="Q187" s="8"/>
      <c r="AA187" s="9"/>
      <c r="AB187" s="12"/>
      <c r="AC187" s="12"/>
      <c r="AD187" s="12"/>
    </row>
  </sheetData>
  <printOptions/>
  <pageMargins left="0.75" right="0.75" top="1" bottom="1" header="0.5" footer="0.5"/>
  <pageSetup fitToHeight="1" fitToWidth="1" horizontalDpi="300" verticalDpi="300" orientation="landscape" scale="81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D5:M31"/>
  <sheetViews>
    <sheetView zoomScale="75" zoomScaleNormal="75" workbookViewId="0" topLeftCell="A1">
      <selection activeCell="D27" sqref="D27"/>
    </sheetView>
  </sheetViews>
  <sheetFormatPr defaultColWidth="9.140625" defaultRowHeight="12.75"/>
  <cols>
    <col min="4" max="11" width="11.7109375" style="0" customWidth="1"/>
  </cols>
  <sheetData>
    <row r="5" spans="4:10" ht="12.75">
      <c r="D5" s="109" t="s">
        <v>82</v>
      </c>
      <c r="E5" s="104"/>
      <c r="F5" s="104"/>
      <c r="G5" s="104"/>
      <c r="H5" s="104"/>
      <c r="I5" s="104"/>
      <c r="J5" s="105"/>
    </row>
    <row r="6" spans="4:10" ht="12.75">
      <c r="D6" s="110" t="s">
        <v>133</v>
      </c>
      <c r="E6" s="177"/>
      <c r="F6" s="177"/>
      <c r="G6" s="177"/>
      <c r="H6" s="177"/>
      <c r="I6" s="177"/>
      <c r="J6" s="178"/>
    </row>
    <row r="7" spans="4:10" ht="12.75">
      <c r="D7" s="41" t="s">
        <v>15</v>
      </c>
      <c r="E7" s="43">
        <v>-15</v>
      </c>
      <c r="F7" s="43">
        <v>-16</v>
      </c>
      <c r="G7" s="43">
        <v>-17</v>
      </c>
      <c r="H7" s="43">
        <v>-18</v>
      </c>
      <c r="I7" s="43">
        <v>-19</v>
      </c>
      <c r="J7" s="43">
        <v>-20</v>
      </c>
    </row>
    <row r="8" spans="4:10" ht="12.75">
      <c r="D8" s="28"/>
      <c r="E8" s="39"/>
      <c r="F8" s="163"/>
      <c r="G8" s="46" t="s">
        <v>120</v>
      </c>
      <c r="H8" s="47" t="s">
        <v>32</v>
      </c>
      <c r="I8" s="39" t="s">
        <v>32</v>
      </c>
      <c r="J8" s="121" t="s">
        <v>121</v>
      </c>
    </row>
    <row r="9" spans="4:10" ht="12.75">
      <c r="D9" s="28"/>
      <c r="E9" s="45" t="s">
        <v>120</v>
      </c>
      <c r="F9" s="39" t="s">
        <v>32</v>
      </c>
      <c r="G9" s="46" t="s">
        <v>5</v>
      </c>
      <c r="H9" s="39" t="s">
        <v>5</v>
      </c>
      <c r="I9" s="39" t="s">
        <v>10</v>
      </c>
      <c r="J9" s="39" t="s">
        <v>32</v>
      </c>
    </row>
    <row r="10" spans="4:10" ht="12.75">
      <c r="D10" s="39" t="s">
        <v>0</v>
      </c>
      <c r="E10" s="39" t="s">
        <v>7</v>
      </c>
      <c r="F10" s="39" t="s">
        <v>107</v>
      </c>
      <c r="G10" s="46" t="s">
        <v>122</v>
      </c>
      <c r="H10" s="39" t="s">
        <v>123</v>
      </c>
      <c r="I10" s="121" t="s">
        <v>5</v>
      </c>
      <c r="J10" s="39" t="s">
        <v>10</v>
      </c>
    </row>
    <row r="11" spans="4:10" ht="13.5">
      <c r="D11" s="40" t="s">
        <v>29</v>
      </c>
      <c r="E11" s="49" t="s">
        <v>3</v>
      </c>
      <c r="F11" s="40" t="s">
        <v>5</v>
      </c>
      <c r="G11" s="49" t="s">
        <v>44</v>
      </c>
      <c r="H11" s="40" t="s">
        <v>124</v>
      </c>
      <c r="I11" s="40" t="s">
        <v>125</v>
      </c>
      <c r="J11" s="40" t="s">
        <v>5</v>
      </c>
    </row>
    <row r="12" spans="4:10" ht="12.75">
      <c r="D12" s="28">
        <v>0</v>
      </c>
      <c r="E12" s="2"/>
      <c r="F12" s="151"/>
      <c r="G12" s="22"/>
      <c r="H12" s="164"/>
      <c r="I12" s="165"/>
      <c r="J12" s="166"/>
    </row>
    <row r="13" spans="4:10" ht="12.75">
      <c r="D13" s="22">
        <v>1</v>
      </c>
      <c r="E13" s="172"/>
      <c r="F13" s="151"/>
      <c r="G13" s="167"/>
      <c r="H13" s="168">
        <f>Detail!K110</f>
        <v>0</v>
      </c>
      <c r="I13" s="169">
        <f>Detail!L89</f>
        <v>0</v>
      </c>
      <c r="J13" s="129">
        <f>Detail!L110</f>
        <v>0</v>
      </c>
    </row>
    <row r="14" spans="4:10" ht="12.75">
      <c r="D14" s="22">
        <v>2</v>
      </c>
      <c r="E14" s="172">
        <f>Detail!D67</f>
        <v>0.0675</v>
      </c>
      <c r="F14" s="151">
        <f>Detail!G67</f>
        <v>45</v>
      </c>
      <c r="G14" s="167">
        <f>Detail!D111+Detail!E111</f>
        <v>41.962500000000006</v>
      </c>
      <c r="H14" s="168">
        <f>Detail!K111</f>
        <v>44.92890385500126</v>
      </c>
      <c r="I14" s="169">
        <f>Detail!L90</f>
        <v>-45.91263148020718</v>
      </c>
      <c r="J14" s="129">
        <f>Detail!L111</f>
        <v>-0.9837276252059226</v>
      </c>
    </row>
    <row r="15" spans="4:10" ht="12.75">
      <c r="D15" s="22">
        <v>3</v>
      </c>
      <c r="E15" s="172">
        <f>Detail!D68</f>
        <v>0.0675</v>
      </c>
      <c r="F15" s="151">
        <f>Detail!G68</f>
        <v>45</v>
      </c>
      <c r="G15" s="167">
        <f>Detail!E112</f>
        <v>-3.0374999999999943</v>
      </c>
      <c r="H15" s="168">
        <f>Detail!K112</f>
        <v>44.93020364095922</v>
      </c>
      <c r="I15" s="169">
        <f>Detail!L91</f>
        <v>-65.1503733706752</v>
      </c>
      <c r="J15" s="129">
        <f>Detail!L112</f>
        <v>-20.220169729715977</v>
      </c>
    </row>
    <row r="16" spans="4:10" ht="12.75">
      <c r="D16" s="22">
        <v>4</v>
      </c>
      <c r="E16" s="172">
        <f>Detail!D69</f>
        <v>0.0675</v>
      </c>
      <c r="F16" s="151">
        <f>Detail!G69</f>
        <v>40.5</v>
      </c>
      <c r="G16" s="167">
        <f>Detail!E113</f>
        <v>-7.537499999999994</v>
      </c>
      <c r="H16" s="168">
        <f>Detail!K113</f>
        <v>40.442216760323454</v>
      </c>
      <c r="I16" s="169">
        <f>Detail!L92</f>
        <v>-77.61560075213379</v>
      </c>
      <c r="J16" s="129">
        <f>Detail!L113</f>
        <v>-37.17338399181033</v>
      </c>
    </row>
    <row r="17" spans="4:10" ht="12.75">
      <c r="D17" s="22">
        <v>5</v>
      </c>
      <c r="E17" s="172">
        <f>Detail!D70</f>
        <v>0.0675</v>
      </c>
      <c r="F17" s="151">
        <f>Detail!G70</f>
        <v>36.45</v>
      </c>
      <c r="G17" s="167">
        <f>Detail!E114</f>
        <v>-6.783749999999991</v>
      </c>
      <c r="H17" s="168">
        <f>Detail!K114</f>
        <v>36.40338091159348</v>
      </c>
      <c r="I17" s="169">
        <f>Detail!L93</f>
        <v>-83.18066963361103</v>
      </c>
      <c r="J17" s="129">
        <f>Detail!L114</f>
        <v>-46.77728872201755</v>
      </c>
    </row>
    <row r="18" spans="4:10" ht="12.75">
      <c r="D18" s="22">
        <v>6</v>
      </c>
      <c r="E18" s="172">
        <f>Detail!D71</f>
        <v>0.0675</v>
      </c>
      <c r="F18" s="151">
        <f>Detail!G71</f>
        <v>32.80500000000001</v>
      </c>
      <c r="G18" s="167">
        <f>Detail!E115</f>
        <v>-6.105374999999995</v>
      </c>
      <c r="H18" s="168">
        <f>Detail!K115</f>
        <v>32.76880565564766</v>
      </c>
      <c r="I18" s="169">
        <f>Detail!L94</f>
        <v>-81.67435774230111</v>
      </c>
      <c r="J18" s="129">
        <f>Detail!L115</f>
        <v>-48.90555208665345</v>
      </c>
    </row>
    <row r="19" spans="4:10" ht="12.75">
      <c r="D19" s="22">
        <v>7</v>
      </c>
      <c r="E19" s="172">
        <f>Detail!D72</f>
        <v>0.0675</v>
      </c>
      <c r="F19" s="151">
        <f>Detail!G72</f>
        <v>29.524500000000007</v>
      </c>
      <c r="G19" s="167">
        <f>Detail!E116</f>
        <v>-5.494837499999999</v>
      </c>
      <c r="H19" s="168">
        <f>Detail!K116</f>
        <v>29.498091323761372</v>
      </c>
      <c r="I19" s="169">
        <f>Detail!L95</f>
        <v>-72.88227836408251</v>
      </c>
      <c r="J19" s="129">
        <f>Detail!L116</f>
        <v>-43.38418704032114</v>
      </c>
    </row>
    <row r="20" spans="4:10" ht="12.75">
      <c r="D20" s="22">
        <v>8</v>
      </c>
      <c r="E20" s="172">
        <f>Detail!D73</f>
        <v>0.0675</v>
      </c>
      <c r="F20" s="151">
        <f>Detail!G73</f>
        <v>26.572050000000008</v>
      </c>
      <c r="G20" s="167">
        <f>Detail!E117</f>
        <v>-4.945353749999995</v>
      </c>
      <c r="H20" s="168">
        <f>Detail!K117</f>
        <v>26.55488006142121</v>
      </c>
      <c r="I20" s="169">
        <f>Detail!L96</f>
        <v>-56.546976720847795</v>
      </c>
      <c r="J20" s="129">
        <f>Detail!L117</f>
        <v>-29.992096659426586</v>
      </c>
    </row>
    <row r="21" spans="4:10" ht="12.75">
      <c r="D21" s="22">
        <v>9</v>
      </c>
      <c r="E21" s="172">
        <f>Detail!D74</f>
        <v>0.0675</v>
      </c>
      <c r="F21" s="151">
        <f>Detail!G74</f>
        <v>23.914845000000007</v>
      </c>
      <c r="G21" s="167">
        <f>Detail!E118</f>
        <v>-4.450818374999997</v>
      </c>
      <c r="H21" s="168">
        <f>Detail!K118</f>
        <v>23.90645177621758</v>
      </c>
      <c r="I21" s="169">
        <f>Detail!L97</f>
        <v>-32.36772130542445</v>
      </c>
      <c r="J21" s="129">
        <f>Detail!L118</f>
        <v>-8.461269529206874</v>
      </c>
    </row>
    <row r="22" spans="4:10" ht="12.75">
      <c r="D22" s="23">
        <v>10</v>
      </c>
      <c r="E22" s="173">
        <f>Detail!D75</f>
        <v>0.0675</v>
      </c>
      <c r="F22" s="152">
        <f>Detail!G76</f>
        <v>0</v>
      </c>
      <c r="G22" s="174">
        <f>Detail!E119</f>
        <v>-25.529097037500005</v>
      </c>
      <c r="H22" s="175">
        <f>Detail!K119</f>
        <v>0</v>
      </c>
      <c r="I22" s="176">
        <f>Detail!L98</f>
        <v>0</v>
      </c>
      <c r="J22" s="137">
        <f>Detail!L119</f>
        <v>0</v>
      </c>
    </row>
    <row r="25" ht="12.75">
      <c r="D25" t="s">
        <v>147</v>
      </c>
    </row>
    <row r="26" ht="12.75">
      <c r="D26" t="s">
        <v>148</v>
      </c>
    </row>
    <row r="30" spans="6:13" ht="12.75">
      <c r="F30" s="183"/>
      <c r="G30" s="183"/>
      <c r="H30" s="183"/>
      <c r="I30" s="183"/>
      <c r="J30" s="183"/>
      <c r="K30" s="183"/>
      <c r="L30" s="183"/>
      <c r="M30" s="183"/>
    </row>
    <row r="31" spans="6:13" ht="12.75">
      <c r="F31" s="183"/>
      <c r="G31" s="183"/>
      <c r="H31" s="183"/>
      <c r="I31" s="183"/>
      <c r="J31" s="183"/>
      <c r="K31" s="183"/>
      <c r="L31" s="183"/>
      <c r="M31" s="183"/>
    </row>
  </sheetData>
  <mergeCells count="2">
    <mergeCell ref="F30:M30"/>
    <mergeCell ref="F31:M31"/>
  </mergeCells>
  <printOptions/>
  <pageMargins left="0.75" right="0.75" top="1" bottom="1" header="0.5" footer="0.5"/>
  <pageSetup horizontalDpi="600" verticalDpi="600" orientation="landscape" scale="88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zoomScale="70" zoomScaleNormal="70" workbookViewId="0" topLeftCell="A1">
      <selection activeCell="K10" sqref="K10"/>
    </sheetView>
  </sheetViews>
  <sheetFormatPr defaultColWidth="9.140625" defaultRowHeight="12.75"/>
  <cols>
    <col min="1" max="1" width="11.28125" style="1" customWidth="1"/>
    <col min="2" max="2" width="12.7109375" style="1" customWidth="1"/>
    <col min="3" max="3" width="14.8515625" style="1" customWidth="1"/>
    <col min="4" max="4" width="15.00390625" style="1" bestFit="1" customWidth="1"/>
    <col min="5" max="5" width="14.28125" style="1" customWidth="1"/>
    <col min="6" max="6" width="13.7109375" style="1" customWidth="1"/>
    <col min="7" max="7" width="16.140625" style="1" customWidth="1"/>
    <col min="8" max="8" width="14.7109375" style="1" customWidth="1"/>
    <col min="9" max="9" width="15.140625" style="1" customWidth="1"/>
    <col min="10" max="10" width="15.28125" style="1" customWidth="1"/>
    <col min="11" max="11" width="15.140625" style="1" customWidth="1"/>
    <col min="12" max="12" width="15.7109375" style="1" customWidth="1"/>
    <col min="13" max="13" width="12.7109375" style="1" customWidth="1"/>
    <col min="14" max="14" width="11.421875" style="1" customWidth="1"/>
    <col min="15" max="15" width="10.57421875" style="1" customWidth="1"/>
    <col min="16" max="17" width="9.140625" style="1" customWidth="1"/>
    <col min="18" max="18" width="12.421875" style="1" bestFit="1" customWidth="1"/>
    <col min="19" max="22" width="12.421875" style="1" customWidth="1"/>
    <col min="23" max="23" width="9.28125" style="1" bestFit="1" customWidth="1"/>
    <col min="24" max="24" width="10.28125" style="1" bestFit="1" customWidth="1"/>
    <col min="25" max="16384" width="9.140625" style="1" customWidth="1"/>
  </cols>
  <sheetData>
    <row r="1" spans="11:35" ht="12.75">
      <c r="K1"/>
      <c r="L1"/>
      <c r="M1" s="24"/>
      <c r="AI1" s="19"/>
    </row>
    <row r="2" spans="11:35" ht="12.75">
      <c r="K2"/>
      <c r="L2"/>
      <c r="M2"/>
      <c r="N2"/>
      <c r="O2"/>
      <c r="P2"/>
      <c r="AI2" s="19"/>
    </row>
    <row r="3" spans="11:37" s="6" customFormat="1" ht="12.75">
      <c r="K3"/>
      <c r="L3"/>
      <c r="M3"/>
      <c r="N3"/>
      <c r="O3"/>
      <c r="P3"/>
      <c r="AI3" s="27"/>
      <c r="AJ3" s="6" t="s">
        <v>2</v>
      </c>
      <c r="AK3" s="6" t="s">
        <v>7</v>
      </c>
    </row>
    <row r="4" spans="11:35" s="6" customFormat="1" ht="12.75">
      <c r="K4"/>
      <c r="L4"/>
      <c r="M4"/>
      <c r="N4"/>
      <c r="O4"/>
      <c r="P4"/>
      <c r="AI4" s="27"/>
    </row>
    <row r="5" spans="11:35" s="6" customFormat="1" ht="12.75">
      <c r="K5" s="58"/>
      <c r="L5" s="58"/>
      <c r="M5" s="58"/>
      <c r="N5"/>
      <c r="O5"/>
      <c r="P5"/>
      <c r="AI5" s="27"/>
    </row>
    <row r="6" spans="3:37" s="6" customFormat="1" ht="12.75">
      <c r="C6" s="109" t="s">
        <v>82</v>
      </c>
      <c r="D6" s="104"/>
      <c r="E6" s="104"/>
      <c r="F6" s="104"/>
      <c r="G6" s="104"/>
      <c r="H6" s="104"/>
      <c r="I6" s="104"/>
      <c r="J6" s="104"/>
      <c r="K6" s="105"/>
      <c r="L6"/>
      <c r="M6"/>
      <c r="N6"/>
      <c r="O6"/>
      <c r="P6"/>
      <c r="AI6" s="27"/>
      <c r="AJ6" s="6" t="s">
        <v>8</v>
      </c>
      <c r="AK6" s="6" t="s">
        <v>9</v>
      </c>
    </row>
    <row r="7" spans="3:36" ht="12.75">
      <c r="C7" s="110" t="s">
        <v>131</v>
      </c>
      <c r="D7" s="101"/>
      <c r="E7" s="101"/>
      <c r="F7" s="101"/>
      <c r="G7" s="101"/>
      <c r="H7" s="101"/>
      <c r="I7" s="101"/>
      <c r="J7" s="101"/>
      <c r="K7" s="102"/>
      <c r="L7"/>
      <c r="M7"/>
      <c r="N7"/>
      <c r="O7"/>
      <c r="P7"/>
      <c r="AI7" s="19"/>
      <c r="AJ7" s="8"/>
    </row>
    <row r="8" spans="3:36" ht="12.75">
      <c r="C8" s="41" t="s">
        <v>15</v>
      </c>
      <c r="D8" s="43">
        <v>-21</v>
      </c>
      <c r="E8" s="43">
        <v>-22</v>
      </c>
      <c r="F8" s="43">
        <v>-23</v>
      </c>
      <c r="G8" s="43">
        <v>-24</v>
      </c>
      <c r="H8" s="43">
        <v>-25</v>
      </c>
      <c r="I8" s="43">
        <v>-26</v>
      </c>
      <c r="J8" s="43">
        <v>-27</v>
      </c>
      <c r="K8" s="43">
        <v>-28</v>
      </c>
      <c r="L8" s="71"/>
      <c r="M8" s="58"/>
      <c r="N8"/>
      <c r="O8"/>
      <c r="P8"/>
      <c r="W8" s="21"/>
      <c r="X8" s="21"/>
      <c r="Y8" s="21"/>
      <c r="AI8" s="19"/>
      <c r="AJ8" s="8"/>
    </row>
    <row r="9" spans="3:37" ht="12.75">
      <c r="C9" s="28"/>
      <c r="D9" s="71"/>
      <c r="E9" s="39" t="s">
        <v>32</v>
      </c>
      <c r="F9" s="54"/>
      <c r="G9" s="54"/>
      <c r="I9" s="47" t="s">
        <v>6</v>
      </c>
      <c r="J9" s="47" t="s">
        <v>47</v>
      </c>
      <c r="K9" s="54"/>
      <c r="L9" s="2"/>
      <c r="M9" s="58"/>
      <c r="N9"/>
      <c r="O9"/>
      <c r="P9"/>
      <c r="R9" s="30"/>
      <c r="S9" s="30"/>
      <c r="T9" s="30"/>
      <c r="U9" s="30"/>
      <c r="V9" s="30"/>
      <c r="W9" s="30"/>
      <c r="X9" s="30"/>
      <c r="Y9" s="21"/>
      <c r="Z9" s="8"/>
      <c r="AA9" s="21"/>
      <c r="AI9" s="19"/>
      <c r="AJ9" s="8">
        <v>957.707293273432</v>
      </c>
      <c r="AK9" s="8">
        <v>0</v>
      </c>
    </row>
    <row r="10" spans="3:37" ht="12.75">
      <c r="C10" s="28"/>
      <c r="D10" s="25" t="s">
        <v>61</v>
      </c>
      <c r="E10" s="47" t="s">
        <v>42</v>
      </c>
      <c r="F10" s="47" t="s">
        <v>4</v>
      </c>
      <c r="G10" s="39" t="s">
        <v>12</v>
      </c>
      <c r="H10" s="25" t="s">
        <v>149</v>
      </c>
      <c r="I10" s="39" t="s">
        <v>46</v>
      </c>
      <c r="J10" s="39" t="s">
        <v>134</v>
      </c>
      <c r="K10" s="47" t="s">
        <v>48</v>
      </c>
      <c r="L10" s="2"/>
      <c r="M10" s="58"/>
      <c r="N10"/>
      <c r="O10"/>
      <c r="P10"/>
      <c r="W10" s="30"/>
      <c r="X10" s="30"/>
      <c r="Y10" s="21"/>
      <c r="Z10" s="8"/>
      <c r="AA10" s="21"/>
      <c r="AI10" s="19"/>
      <c r="AJ10" s="8">
        <v>2577.93316348183</v>
      </c>
      <c r="AK10" s="8">
        <v>-698.41062947086</v>
      </c>
    </row>
    <row r="11" spans="3:37" ht="12.75">
      <c r="C11" s="39" t="s">
        <v>0</v>
      </c>
      <c r="D11" s="25" t="s">
        <v>11</v>
      </c>
      <c r="E11" s="39" t="s">
        <v>69</v>
      </c>
      <c r="F11" s="39" t="s">
        <v>30</v>
      </c>
      <c r="G11" s="39" t="s">
        <v>4</v>
      </c>
      <c r="H11" s="25" t="s">
        <v>128</v>
      </c>
      <c r="I11" s="45" t="s">
        <v>70</v>
      </c>
      <c r="J11" s="39" t="s">
        <v>135</v>
      </c>
      <c r="K11" s="39" t="s">
        <v>49</v>
      </c>
      <c r="L11" s="2"/>
      <c r="M11" s="58"/>
      <c r="N11"/>
      <c r="O11"/>
      <c r="P11"/>
      <c r="W11" s="30"/>
      <c r="X11" s="30"/>
      <c r="Y11" s="21"/>
      <c r="Z11" s="8"/>
      <c r="AA11" s="21"/>
      <c r="AI11" s="19"/>
      <c r="AJ11" s="8">
        <v>3813.80916157832</v>
      </c>
      <c r="AK11" s="8">
        <v>-579.866262737716</v>
      </c>
    </row>
    <row r="12" spans="3:37" ht="13.5">
      <c r="C12" s="40" t="s">
        <v>29</v>
      </c>
      <c r="D12" s="40" t="s">
        <v>19</v>
      </c>
      <c r="E12" s="40" t="s">
        <v>43</v>
      </c>
      <c r="F12" s="40" t="s">
        <v>44</v>
      </c>
      <c r="G12" s="40" t="s">
        <v>45</v>
      </c>
      <c r="H12" s="40" t="s">
        <v>44</v>
      </c>
      <c r="I12" s="40" t="s">
        <v>50</v>
      </c>
      <c r="J12" s="37" t="s">
        <v>50</v>
      </c>
      <c r="K12" s="40" t="s">
        <v>50</v>
      </c>
      <c r="L12" s="2"/>
      <c r="M12" s="58"/>
      <c r="N12"/>
      <c r="O12"/>
      <c r="P12"/>
      <c r="W12" s="30"/>
      <c r="X12" s="30"/>
      <c r="Y12" s="21"/>
      <c r="Z12" s="8"/>
      <c r="AA12" s="21"/>
      <c r="AI12" s="19"/>
      <c r="AJ12" s="8">
        <v>3620.58110221083</v>
      </c>
      <c r="AK12" s="8">
        <v>-457.032056479436</v>
      </c>
    </row>
    <row r="13" spans="3:37" ht="12.75">
      <c r="C13" s="28">
        <v>0</v>
      </c>
      <c r="E13" s="22"/>
      <c r="F13" s="22"/>
      <c r="G13" s="22"/>
      <c r="I13" s="22"/>
      <c r="J13" s="22"/>
      <c r="K13" s="22"/>
      <c r="L13" s="2"/>
      <c r="M13" s="58"/>
      <c r="N13"/>
      <c r="O13"/>
      <c r="P13"/>
      <c r="W13" s="30"/>
      <c r="X13" s="30"/>
      <c r="Y13" s="21"/>
      <c r="Z13" s="8"/>
      <c r="AA13" s="21"/>
      <c r="AI13" s="19"/>
      <c r="AJ13" s="8">
        <v>3702.23903514304</v>
      </c>
      <c r="AK13" s="8">
        <v>-250.996729565128</v>
      </c>
    </row>
    <row r="14" spans="3:37" ht="12.75">
      <c r="C14" s="22">
        <v>1</v>
      </c>
      <c r="D14" s="146">
        <f>Detail!I47</f>
        <v>20.668368376731593</v>
      </c>
      <c r="E14" s="130"/>
      <c r="F14" s="130"/>
      <c r="G14" s="130"/>
      <c r="I14" s="130"/>
      <c r="J14" s="130"/>
      <c r="K14" s="130">
        <f>Detail!C171</f>
        <v>20.668368376731593</v>
      </c>
      <c r="L14" s="2"/>
      <c r="M14" s="58"/>
      <c r="N14"/>
      <c r="O14"/>
      <c r="P14"/>
      <c r="W14" s="30"/>
      <c r="X14" s="30"/>
      <c r="Y14" s="21"/>
      <c r="Z14" s="8"/>
      <c r="AA14" s="21"/>
      <c r="AI14" s="19"/>
      <c r="AJ14" s="8">
        <v>3794.40221946278</v>
      </c>
      <c r="AK14" s="8">
        <v>-37.2963831417228</v>
      </c>
    </row>
    <row r="15" spans="3:37" ht="12.75">
      <c r="C15" s="22">
        <v>2</v>
      </c>
      <c r="D15" s="146">
        <f>Detail!I48</f>
        <v>18.601531539058485</v>
      </c>
      <c r="E15" s="130">
        <f>Detail!C152</f>
        <v>126</v>
      </c>
      <c r="F15" s="130">
        <f>Detail!D152</f>
        <v>75.87</v>
      </c>
      <c r="G15" s="130">
        <f>Detail!E152</f>
        <v>13.5</v>
      </c>
      <c r="H15" s="30">
        <f>Detail!D111+Detail!E111</f>
        <v>41.962500000000006</v>
      </c>
      <c r="I15" s="130">
        <f>Detail!H152</f>
        <v>32.16803375147826</v>
      </c>
      <c r="J15" s="130">
        <f>Detail!I152</f>
        <v>-0.9837276252059226</v>
      </c>
      <c r="K15" s="130">
        <f>Detail!C172</f>
        <v>-5.4605222385188235</v>
      </c>
      <c r="L15" s="2"/>
      <c r="M15" s="58"/>
      <c r="N15"/>
      <c r="O15"/>
      <c r="P15"/>
      <c r="W15" s="30"/>
      <c r="X15" s="30"/>
      <c r="Y15" s="21"/>
      <c r="Z15" s="8"/>
      <c r="AA15" s="21"/>
      <c r="AI15" s="19"/>
      <c r="AJ15" s="8">
        <v>3897.6471077648</v>
      </c>
      <c r="AK15" s="8">
        <v>184.747844650273</v>
      </c>
    </row>
    <row r="16" spans="3:37" ht="12.75">
      <c r="C16" s="22">
        <v>3</v>
      </c>
      <c r="D16" s="146">
        <f>Detail!I49</f>
        <v>16.74137838515263</v>
      </c>
      <c r="E16" s="130">
        <f>Detail!C153</f>
        <v>72.9</v>
      </c>
      <c r="F16" s="130">
        <f>Detail!D153</f>
        <v>19.683000000000003</v>
      </c>
      <c r="G16" s="130">
        <f>Detail!E153</f>
        <v>18</v>
      </c>
      <c r="H16" s="30">
        <f>+Detail!E112</f>
        <v>-3.0374999999999943</v>
      </c>
      <c r="I16" s="130">
        <f>Detail!H153</f>
        <v>-5.044871681184077</v>
      </c>
      <c r="J16" s="130">
        <f>Detail!I153</f>
        <v>-19.236442104510054</v>
      </c>
      <c r="K16" s="130">
        <f>Detail!C173</f>
        <v>2.819761556697193</v>
      </c>
      <c r="L16" s="2"/>
      <c r="M16" s="58"/>
      <c r="N16"/>
      <c r="O16"/>
      <c r="P16"/>
      <c r="W16" s="30"/>
      <c r="X16" s="30"/>
      <c r="Y16" s="21"/>
      <c r="Z16" s="8"/>
      <c r="AA16" s="21"/>
      <c r="AI16" s="19"/>
      <c r="AJ16" s="8">
        <v>4012.52059315258</v>
      </c>
      <c r="AK16" s="8">
        <v>415.833112707837</v>
      </c>
    </row>
    <row r="17" spans="3:37" ht="12.75">
      <c r="C17" s="22">
        <v>4</v>
      </c>
      <c r="D17" s="146">
        <f>Detail!I50</f>
        <v>15.06724054663733</v>
      </c>
      <c r="E17" s="130">
        <f>Detail!C154</f>
        <v>65.61000000000001</v>
      </c>
      <c r="F17" s="130">
        <f>Detail!D154</f>
        <v>17.714700000000004</v>
      </c>
      <c r="G17" s="130">
        <f>Detail!E154</f>
        <v>22.5</v>
      </c>
      <c r="H17" s="30">
        <f>+Detail!E113</f>
        <v>-7.537499999999994</v>
      </c>
      <c r="I17" s="130">
        <f>Detail!H154</f>
        <v>-4.668349294488209</v>
      </c>
      <c r="J17" s="130">
        <f>Detail!I154</f>
        <v>-16.953214262094356</v>
      </c>
      <c r="K17" s="130">
        <f>Detail!C174</f>
        <v>2.5377854010274117</v>
      </c>
      <c r="L17" s="2"/>
      <c r="M17" s="58"/>
      <c r="N17"/>
      <c r="O17"/>
      <c r="P17"/>
      <c r="W17" s="30"/>
      <c r="X17" s="30"/>
      <c r="Y17" s="21"/>
      <c r="Z17" s="8"/>
      <c r="AA17" s="21"/>
      <c r="AI17" s="9"/>
      <c r="AJ17" s="8">
        <v>4138.15877237735</v>
      </c>
      <c r="AK17" s="8">
        <v>618.470710779109</v>
      </c>
    </row>
    <row r="18" spans="3:37" ht="12.75">
      <c r="C18" s="22">
        <v>5</v>
      </c>
      <c r="D18" s="146">
        <f>Detail!I51</f>
        <v>13.560516491973662</v>
      </c>
      <c r="E18" s="130">
        <f>Detail!C155</f>
        <v>59.049000000000014</v>
      </c>
      <c r="F18" s="130">
        <f>Detail!D155</f>
        <v>15.943230000000005</v>
      </c>
      <c r="G18" s="130">
        <f>Detail!E155</f>
        <v>27</v>
      </c>
      <c r="H18" s="30">
        <f>+Detail!E114</f>
        <v>-6.783749999999991</v>
      </c>
      <c r="I18" s="130">
        <f>Detail!H155</f>
        <v>-4.338436681161511</v>
      </c>
      <c r="J18" s="130">
        <f>Detail!I155</f>
        <v>-9.60390473020722</v>
      </c>
      <c r="K18" s="130">
        <f>Detail!C175</f>
        <v>2.284006860924734</v>
      </c>
      <c r="L18" s="2"/>
      <c r="M18" s="58"/>
      <c r="N18"/>
      <c r="O18"/>
      <c r="P18"/>
      <c r="W18" s="30"/>
      <c r="X18" s="30"/>
      <c r="Y18" s="21"/>
      <c r="Z18" s="8"/>
      <c r="AA18" s="21"/>
      <c r="AI18" s="9"/>
      <c r="AJ18" s="8">
        <v>4275.34164187747</v>
      </c>
      <c r="AK18" s="8">
        <v>833.280044893686</v>
      </c>
    </row>
    <row r="19" spans="3:35" ht="13.5" customHeight="1">
      <c r="C19" s="22">
        <v>6</v>
      </c>
      <c r="D19" s="146">
        <f>Detail!I52</f>
        <v>12.204464842776257</v>
      </c>
      <c r="E19" s="130">
        <f>Detail!C156</f>
        <v>53.144100000000016</v>
      </c>
      <c r="F19" s="130">
        <f>Detail!D156</f>
        <v>14.348907000000006</v>
      </c>
      <c r="G19" s="130">
        <f>Detail!E156</f>
        <v>31.5</v>
      </c>
      <c r="H19" s="30">
        <f>+Detail!E115</f>
        <v>-6.105374999999995</v>
      </c>
      <c r="I19" s="130">
        <f>Detail!H156</f>
        <v>-4.051099891296019</v>
      </c>
      <c r="J19" s="130">
        <f>Detail!I156</f>
        <v>-2.128263364635899</v>
      </c>
      <c r="K19" s="130">
        <f>Detail!C176</f>
        <v>2.0556061748322243</v>
      </c>
      <c r="L19" s="2"/>
      <c r="M19" s="58"/>
      <c r="N19"/>
      <c r="O19"/>
      <c r="P19"/>
      <c r="Q19" s="4"/>
      <c r="R19" s="32"/>
      <c r="S19" s="32"/>
      <c r="T19" s="32"/>
      <c r="U19" s="32"/>
      <c r="V19" s="32"/>
      <c r="W19" s="32"/>
      <c r="X19" s="32"/>
      <c r="Y19" s="21"/>
      <c r="Z19" s="8"/>
      <c r="AA19" s="21"/>
      <c r="AI19" s="9"/>
    </row>
    <row r="20" spans="3:35" ht="12.75">
      <c r="C20" s="22">
        <v>7</v>
      </c>
      <c r="D20" s="146">
        <f>Detail!I53</f>
        <v>10.984018358498624</v>
      </c>
      <c r="E20" s="130">
        <f>Detail!C157</f>
        <v>47.829690000000014</v>
      </c>
      <c r="F20" s="130">
        <f>Detail!D157</f>
        <v>12.914016300000004</v>
      </c>
      <c r="G20" s="130">
        <f>Detail!E157</f>
        <v>36</v>
      </c>
      <c r="H20" s="30">
        <f>+Detail!E116</f>
        <v>-5.494837499999999</v>
      </c>
      <c r="I20" s="130">
        <f>Detail!H157</f>
        <v>-3.8027522618946463</v>
      </c>
      <c r="J20" s="130">
        <f>Detail!I157</f>
        <v>5.521365046332313</v>
      </c>
      <c r="K20" s="130">
        <f>Detail!C177</f>
        <v>1.850045557349027</v>
      </c>
      <c r="L20" s="2"/>
      <c r="M20" s="58"/>
      <c r="N20"/>
      <c r="O20"/>
      <c r="P20"/>
      <c r="Q20" s="4"/>
      <c r="R20" s="4"/>
      <c r="S20" s="4"/>
      <c r="T20" s="4"/>
      <c r="U20" s="4"/>
      <c r="V20" s="4"/>
      <c r="W20" s="21"/>
      <c r="X20" s="21"/>
      <c r="Y20" s="21"/>
      <c r="Z20" s="8"/>
      <c r="AA20" s="21"/>
      <c r="AI20" s="9"/>
    </row>
    <row r="21" spans="3:35" ht="12.75">
      <c r="C21" s="22">
        <v>8</v>
      </c>
      <c r="D21" s="146">
        <f>Detail!I54</f>
        <v>9.885616522648782</v>
      </c>
      <c r="E21" s="130">
        <f>Detail!C158</f>
        <v>43.04672100000001</v>
      </c>
      <c r="F21" s="130">
        <f>Detail!D158</f>
        <v>11.622614670000004</v>
      </c>
      <c r="G21" s="130">
        <f>Detail!E158</f>
        <v>40.5</v>
      </c>
      <c r="H21" s="30">
        <f>+Detail!E117</f>
        <v>-4.945353749999995</v>
      </c>
      <c r="I21" s="130">
        <f>Detail!H158</f>
        <v>-3.5902127606143495</v>
      </c>
      <c r="J21" s="130">
        <f>Detail!I158</f>
        <v>13.392090380894551</v>
      </c>
      <c r="K21" s="130">
        <f>Detail!C178</f>
        <v>1.6650410016141208</v>
      </c>
      <c r="L21" s="2"/>
      <c r="M21" s="58"/>
      <c r="N21"/>
      <c r="O21"/>
      <c r="P21"/>
      <c r="Q21" s="4"/>
      <c r="R21" s="4"/>
      <c r="S21" s="4"/>
      <c r="T21" s="4"/>
      <c r="U21" s="4"/>
      <c r="V21" s="4"/>
      <c r="W21" s="21"/>
      <c r="X21" s="21"/>
      <c r="Y21" s="21"/>
      <c r="Z21" s="8"/>
      <c r="AA21" s="21"/>
      <c r="AI21" s="9"/>
    </row>
    <row r="22" spans="3:16" ht="12.75">
      <c r="C22" s="22">
        <v>9</v>
      </c>
      <c r="D22" s="146">
        <f>Detail!I55</f>
        <v>8.897054870383908</v>
      </c>
      <c r="E22" s="130">
        <f>Detail!C159</f>
        <v>38.742048900000015</v>
      </c>
      <c r="F22" s="130">
        <f>Detail!D159</f>
        <v>10.460353203000004</v>
      </c>
      <c r="G22" s="130">
        <f>Detail!E159</f>
        <v>45</v>
      </c>
      <c r="H22" s="30">
        <f>+Detail!E118</f>
        <v>-4.450818374999997</v>
      </c>
      <c r="I22" s="130">
        <f>Detail!H159</f>
        <v>-3.4106687102057496</v>
      </c>
      <c r="J22" s="130">
        <f>Detail!I159</f>
        <v>21.530827130219713</v>
      </c>
      <c r="K22" s="130">
        <f>Detail!C179</f>
        <v>1.498536901452722</v>
      </c>
      <c r="L22" s="2"/>
      <c r="M22" s="58"/>
      <c r="N22"/>
      <c r="O22"/>
      <c r="P22"/>
    </row>
    <row r="23" spans="3:16" ht="12.75" customHeight="1">
      <c r="C23" s="23">
        <v>10</v>
      </c>
      <c r="D23" s="137">
        <f>Detail!I56</f>
        <v>8.0073493833455</v>
      </c>
      <c r="E23" s="138">
        <f>Detail!C160</f>
        <v>34.86784401000001</v>
      </c>
      <c r="F23" s="138">
        <f>Detail!D160</f>
        <v>9.414317882700004</v>
      </c>
      <c r="G23" s="138">
        <f>Detail!E160</f>
        <v>49.5</v>
      </c>
      <c r="H23" s="182">
        <f>+Detail!E119</f>
        <v>-25.529097037500005</v>
      </c>
      <c r="I23" s="138">
        <f>Detail!H160</f>
        <v>-3.261642470633701</v>
      </c>
      <c r="J23" s="138">
        <f>Detail!I160</f>
        <v>8.461269529206874</v>
      </c>
      <c r="K23" s="138">
        <f>Detail!C180</f>
        <v>1.3486832113074287</v>
      </c>
      <c r="L23" s="2"/>
      <c r="M23" s="58"/>
      <c r="N23"/>
      <c r="O23"/>
      <c r="P23"/>
    </row>
    <row r="24" spans="2:16" ht="15.75" customHeight="1">
      <c r="B24"/>
      <c r="C24"/>
      <c r="D24"/>
      <c r="E24"/>
      <c r="F24"/>
      <c r="G24"/>
      <c r="H24"/>
      <c r="I24"/>
      <c r="J24"/>
      <c r="K24" s="58"/>
      <c r="L24" s="58"/>
      <c r="M24" s="58"/>
      <c r="N24"/>
      <c r="O24"/>
      <c r="P24"/>
    </row>
    <row r="25" spans="2:16" ht="12.75">
      <c r="B25"/>
      <c r="C25"/>
      <c r="D25"/>
      <c r="E25"/>
      <c r="F25"/>
      <c r="G25"/>
      <c r="H25"/>
      <c r="I25"/>
      <c r="J25"/>
      <c r="K25" s="58"/>
      <c r="L25" s="58"/>
      <c r="M25" s="58"/>
      <c r="N25"/>
      <c r="O25"/>
      <c r="P25"/>
    </row>
    <row r="26" spans="2:16" ht="12.75">
      <c r="B26"/>
      <c r="C26" t="s">
        <v>144</v>
      </c>
      <c r="D26"/>
      <c r="E26"/>
      <c r="F26"/>
      <c r="G26"/>
      <c r="H26"/>
      <c r="I26"/>
      <c r="J26"/>
      <c r="K26" s="58"/>
      <c r="L26" s="58"/>
      <c r="M26" s="58"/>
      <c r="N26"/>
      <c r="O26"/>
      <c r="P26"/>
    </row>
    <row r="27" spans="2:16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2:16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2:16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2:35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4"/>
      <c r="R30" s="4"/>
      <c r="S30" s="4"/>
      <c r="T30" s="4"/>
      <c r="U30" s="4"/>
      <c r="V30" s="4"/>
      <c r="W30" s="21"/>
      <c r="X30" s="21"/>
      <c r="Y30" s="21"/>
      <c r="Z30" s="8"/>
      <c r="AA30" s="21"/>
      <c r="AI30" s="9"/>
    </row>
    <row r="31" spans="2:35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4"/>
      <c r="R31" s="4"/>
      <c r="S31" s="4"/>
      <c r="T31" s="4"/>
      <c r="U31" s="4"/>
      <c r="V31" s="4"/>
      <c r="W31" s="21"/>
      <c r="X31" s="21"/>
      <c r="Y31" s="21"/>
      <c r="Z31" s="8"/>
      <c r="AA31" s="21"/>
      <c r="AI31" s="9"/>
    </row>
    <row r="32" spans="2:35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4"/>
      <c r="R32" s="4"/>
      <c r="S32" s="4"/>
      <c r="T32" s="4"/>
      <c r="U32" s="4"/>
      <c r="V32" s="4"/>
      <c r="W32" s="21"/>
      <c r="X32" s="21"/>
      <c r="Y32" s="21"/>
      <c r="Z32" s="8"/>
      <c r="AA32" s="21"/>
      <c r="AI32" s="9"/>
    </row>
    <row r="33" spans="2:35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4"/>
      <c r="R33" s="4"/>
      <c r="S33" s="4"/>
      <c r="T33" s="4"/>
      <c r="U33" s="4"/>
      <c r="V33" s="4"/>
      <c r="W33" s="21"/>
      <c r="X33" s="21"/>
      <c r="Y33" s="21"/>
      <c r="Z33" s="8"/>
      <c r="AA33" s="21"/>
      <c r="AI33" s="9"/>
    </row>
    <row r="34" spans="2:35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4"/>
      <c r="R34" s="4"/>
      <c r="S34" s="4"/>
      <c r="T34" s="4"/>
      <c r="U34" s="4"/>
      <c r="V34" s="4"/>
      <c r="W34" s="21"/>
      <c r="X34" s="21"/>
      <c r="Y34" s="21"/>
      <c r="Z34" s="8"/>
      <c r="AA34" s="21"/>
      <c r="AI34" s="9"/>
    </row>
    <row r="35" spans="2:35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4"/>
      <c r="R35" s="4"/>
      <c r="S35" s="4"/>
      <c r="T35" s="4"/>
      <c r="U35" s="4"/>
      <c r="V35" s="4"/>
      <c r="W35" s="21"/>
      <c r="X35" s="21"/>
      <c r="Y35" s="21"/>
      <c r="Z35" s="8"/>
      <c r="AA35" s="21"/>
      <c r="AI35" s="9"/>
    </row>
    <row r="36" spans="2:35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4"/>
      <c r="R36" s="4"/>
      <c r="S36" s="4"/>
      <c r="T36" s="4"/>
      <c r="U36" s="4"/>
      <c r="V36" s="4"/>
      <c r="W36" s="21"/>
      <c r="X36" s="21"/>
      <c r="Y36" s="21"/>
      <c r="Z36" s="8"/>
      <c r="AA36" s="21"/>
      <c r="AI36" s="9"/>
    </row>
    <row r="37" spans="2:16" ht="3.75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16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3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"/>
      <c r="R41" s="4"/>
      <c r="S41" s="4"/>
      <c r="T41" s="4"/>
      <c r="U41" s="4"/>
      <c r="V41" s="4"/>
      <c r="W41" s="21"/>
      <c r="X41" s="21"/>
      <c r="Y41" s="21"/>
      <c r="Z41" s="8"/>
      <c r="AA41" s="21"/>
      <c r="AI41" s="9"/>
    </row>
    <row r="42" spans="1:3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4"/>
      <c r="R42" s="4"/>
      <c r="S42" s="4"/>
      <c r="T42" s="4"/>
      <c r="U42" s="4"/>
      <c r="V42" s="4"/>
      <c r="W42" s="21"/>
      <c r="X42" s="21"/>
      <c r="Y42" s="21"/>
      <c r="Z42" s="8"/>
      <c r="AA42" s="21"/>
      <c r="AI42" s="9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3:13" ht="12.75">
      <c r="C52" s="8"/>
      <c r="D52" s="8"/>
      <c r="E52" s="8"/>
      <c r="F52" s="8"/>
      <c r="G52" s="8"/>
      <c r="I52" s="8"/>
      <c r="M52" s="50"/>
    </row>
  </sheetData>
  <printOptions/>
  <pageMargins left="0.75" right="0.75" top="1" bottom="1" header="0.5" footer="0.5"/>
  <pageSetup fitToHeight="1" fitToWidth="1" horizontalDpi="300" verticalDpi="300" orientation="landscape" scale="71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4:M21"/>
  <sheetViews>
    <sheetView tabSelected="1" zoomScale="70" zoomScaleNormal="70" workbookViewId="0" topLeftCell="A1">
      <selection activeCell="I29" sqref="I29"/>
    </sheetView>
  </sheetViews>
  <sheetFormatPr defaultColWidth="9.140625" defaultRowHeight="12.75"/>
  <cols>
    <col min="1" max="2" width="13.7109375" style="0" customWidth="1"/>
    <col min="3" max="3" width="11.8515625" style="0" customWidth="1"/>
    <col min="4" max="4" width="12.00390625" style="0" bestFit="1" customWidth="1"/>
    <col min="5" max="5" width="13.7109375" style="0" customWidth="1"/>
    <col min="6" max="6" width="15.28125" style="0" customWidth="1"/>
    <col min="7" max="7" width="13.57421875" style="0" customWidth="1"/>
    <col min="8" max="8" width="11.00390625" style="0" customWidth="1"/>
    <col min="9" max="9" width="15.00390625" style="0" customWidth="1"/>
    <col min="10" max="10" width="16.28125" style="0" customWidth="1"/>
    <col min="11" max="11" width="14.140625" style="0" customWidth="1"/>
    <col min="12" max="12" width="12.28125" style="0" customWidth="1"/>
  </cols>
  <sheetData>
    <row r="4" spans="3:12" ht="12.75">
      <c r="C4" s="109" t="s">
        <v>82</v>
      </c>
      <c r="D4" s="104"/>
      <c r="E4" s="104"/>
      <c r="F4" s="104"/>
      <c r="G4" s="104"/>
      <c r="H4" s="104"/>
      <c r="I4" s="104"/>
      <c r="J4" s="104"/>
      <c r="K4" s="104"/>
      <c r="L4" s="105"/>
    </row>
    <row r="5" spans="3:12" ht="12.75">
      <c r="C5" s="110" t="s">
        <v>132</v>
      </c>
      <c r="D5" s="101"/>
      <c r="E5" s="101"/>
      <c r="F5" s="101"/>
      <c r="G5" s="101"/>
      <c r="H5" s="101"/>
      <c r="I5" s="101"/>
      <c r="J5" s="101"/>
      <c r="K5" s="101"/>
      <c r="L5" s="102"/>
    </row>
    <row r="6" spans="3:12" ht="12.75">
      <c r="C6" s="41" t="s">
        <v>15</v>
      </c>
      <c r="D6" s="43">
        <v>-29</v>
      </c>
      <c r="E6" s="43">
        <v>-30</v>
      </c>
      <c r="F6" s="43">
        <v>-31</v>
      </c>
      <c r="G6" s="43">
        <v>-32</v>
      </c>
      <c r="H6" s="43">
        <v>-33</v>
      </c>
      <c r="I6" s="43">
        <v>-34</v>
      </c>
      <c r="J6" s="43">
        <v>-35</v>
      </c>
      <c r="K6" s="43">
        <v>-36</v>
      </c>
      <c r="L6" s="43">
        <v>-37</v>
      </c>
    </row>
    <row r="7" spans="3:12" ht="12.75">
      <c r="C7" s="28"/>
      <c r="D7" s="53"/>
      <c r="E7" s="71"/>
      <c r="F7" s="47" t="s">
        <v>76</v>
      </c>
      <c r="G7" s="54"/>
      <c r="H7" s="54"/>
      <c r="I7" s="47" t="s">
        <v>77</v>
      </c>
      <c r="J7" s="47"/>
      <c r="K7" s="47"/>
      <c r="L7" s="47" t="s">
        <v>71</v>
      </c>
    </row>
    <row r="8" spans="3:12" ht="12.75">
      <c r="C8" s="28"/>
      <c r="D8" s="39" t="s">
        <v>31</v>
      </c>
      <c r="E8" s="25" t="s">
        <v>61</v>
      </c>
      <c r="F8" s="39" t="s">
        <v>106</v>
      </c>
      <c r="G8" s="39" t="s">
        <v>32</v>
      </c>
      <c r="H8" s="25" t="s">
        <v>75</v>
      </c>
      <c r="I8" s="39" t="s">
        <v>106</v>
      </c>
      <c r="J8" s="39" t="s">
        <v>69</v>
      </c>
      <c r="K8" s="47" t="s">
        <v>48</v>
      </c>
      <c r="L8" s="39" t="s">
        <v>106</v>
      </c>
    </row>
    <row r="9" spans="3:12" ht="12.75">
      <c r="C9" s="39" t="s">
        <v>0</v>
      </c>
      <c r="D9" s="39" t="s">
        <v>1</v>
      </c>
      <c r="E9" s="25" t="s">
        <v>11</v>
      </c>
      <c r="F9" s="39" t="s">
        <v>72</v>
      </c>
      <c r="G9" s="47" t="s">
        <v>42</v>
      </c>
      <c r="H9" s="25" t="s">
        <v>11</v>
      </c>
      <c r="I9" s="39" t="s">
        <v>73</v>
      </c>
      <c r="J9" s="39" t="s">
        <v>79</v>
      </c>
      <c r="K9" s="39" t="s">
        <v>80</v>
      </c>
      <c r="L9" s="121" t="s">
        <v>74</v>
      </c>
    </row>
    <row r="10" spans="3:12" ht="13.5">
      <c r="C10" s="40" t="s">
        <v>29</v>
      </c>
      <c r="D10" s="40" t="s">
        <v>8</v>
      </c>
      <c r="E10" s="40" t="s">
        <v>86</v>
      </c>
      <c r="F10" s="40" t="s">
        <v>1</v>
      </c>
      <c r="G10" s="40" t="s">
        <v>69</v>
      </c>
      <c r="H10" s="40" t="s">
        <v>86</v>
      </c>
      <c r="I10" s="40" t="s">
        <v>1</v>
      </c>
      <c r="J10" s="37" t="s">
        <v>50</v>
      </c>
      <c r="K10" s="40" t="s">
        <v>50</v>
      </c>
      <c r="L10" s="40" t="s">
        <v>1</v>
      </c>
    </row>
    <row r="11" spans="3:12" ht="12.75">
      <c r="C11" s="28">
        <v>0</v>
      </c>
      <c r="D11" s="42"/>
      <c r="E11" s="1"/>
      <c r="F11" s="22"/>
      <c r="G11" s="22"/>
      <c r="H11" s="22"/>
      <c r="I11" s="22"/>
      <c r="J11" s="22"/>
      <c r="K11" s="22"/>
      <c r="L11" s="22"/>
    </row>
    <row r="12" spans="3:13" ht="12.75">
      <c r="C12" s="22">
        <v>1</v>
      </c>
      <c r="D12" s="146">
        <f>'Sheet 2'!D12</f>
        <v>100</v>
      </c>
      <c r="E12" s="153">
        <f>'Sheet 3'!D14</f>
        <v>20.668368376731593</v>
      </c>
      <c r="F12" s="147">
        <f>(E12/D12)</f>
        <v>0.20668368376731594</v>
      </c>
      <c r="G12" s="130"/>
      <c r="H12" s="130"/>
      <c r="I12" s="147"/>
      <c r="J12" s="130">
        <f>D12-G12</f>
        <v>100</v>
      </c>
      <c r="K12" s="130">
        <f>'Sheet 3'!K14</f>
        <v>20.668368376731593</v>
      </c>
      <c r="L12" s="148">
        <f>(K12/J12)</f>
        <v>0.20668368376731594</v>
      </c>
      <c r="M12" s="160"/>
    </row>
    <row r="13" spans="3:13" ht="12.75">
      <c r="C13" s="22">
        <v>2</v>
      </c>
      <c r="D13" s="146">
        <f>'Sheet 2'!D13</f>
        <v>90</v>
      </c>
      <c r="E13" s="153">
        <f>'Sheet 3'!D15</f>
        <v>18.601531539058485</v>
      </c>
      <c r="F13" s="147">
        <f aca="true" t="shared" si="0" ref="F13:F21">(E13/D13)</f>
        <v>0.2066836837673165</v>
      </c>
      <c r="G13" s="130">
        <f>'Sheet 3'!E15</f>
        <v>126</v>
      </c>
      <c r="H13" s="130">
        <f>-Detail!K152</f>
        <v>24.062053777577308</v>
      </c>
      <c r="I13" s="147">
        <f aca="true" t="shared" si="1" ref="I13:I21">(H13/G13)</f>
        <v>0.19096868077442308</v>
      </c>
      <c r="J13" s="130">
        <f aca="true" t="shared" si="2" ref="J13:J21">D13-G13</f>
        <v>-36</v>
      </c>
      <c r="K13" s="130">
        <f>'Sheet 3'!K15</f>
        <v>-5.4605222385188235</v>
      </c>
      <c r="L13" s="148">
        <f aca="true" t="shared" si="3" ref="L13:L21">(K13/J13)</f>
        <v>0.15168117329218955</v>
      </c>
      <c r="M13" s="160"/>
    </row>
    <row r="14" spans="3:13" ht="12.75">
      <c r="C14" s="22">
        <v>3</v>
      </c>
      <c r="D14" s="146">
        <f>'Sheet 2'!D14</f>
        <v>81</v>
      </c>
      <c r="E14" s="153">
        <f>'Sheet 3'!D16</f>
        <v>16.74137838515263</v>
      </c>
      <c r="F14" s="147">
        <f t="shared" si="0"/>
        <v>0.2066836837673164</v>
      </c>
      <c r="G14" s="130">
        <f>'Sheet 3'!E16</f>
        <v>72.9</v>
      </c>
      <c r="H14" s="130">
        <f>-Detail!K153</f>
        <v>13.921616828455436</v>
      </c>
      <c r="I14" s="147">
        <f t="shared" si="1"/>
        <v>0.19096868077442297</v>
      </c>
      <c r="J14" s="130">
        <f t="shared" si="2"/>
        <v>8.099999999999994</v>
      </c>
      <c r="K14" s="130">
        <f>'Sheet 3'!K16</f>
        <v>2.819761556697193</v>
      </c>
      <c r="L14" s="148">
        <f t="shared" si="3"/>
        <v>0.3481187107033574</v>
      </c>
      <c r="M14" s="160"/>
    </row>
    <row r="15" spans="3:13" ht="12.75">
      <c r="C15" s="22">
        <v>4</v>
      </c>
      <c r="D15" s="146">
        <f>'Sheet 2'!D15</f>
        <v>72.9</v>
      </c>
      <c r="E15" s="153">
        <f>'Sheet 3'!D17</f>
        <v>15.06724054663733</v>
      </c>
      <c r="F15" s="147">
        <f t="shared" si="0"/>
        <v>0.20668368376731588</v>
      </c>
      <c r="G15" s="130">
        <f>'Sheet 3'!E17</f>
        <v>65.61000000000001</v>
      </c>
      <c r="H15" s="130">
        <f>-Detail!K154</f>
        <v>12.529455145609917</v>
      </c>
      <c r="I15" s="147">
        <f t="shared" si="1"/>
        <v>0.19096868077442333</v>
      </c>
      <c r="J15" s="130">
        <f t="shared" si="2"/>
        <v>7.289999999999992</v>
      </c>
      <c r="K15" s="130">
        <f>'Sheet 3'!K17</f>
        <v>2.5377854010274117</v>
      </c>
      <c r="L15" s="148">
        <f t="shared" si="3"/>
        <v>0.34811871070334904</v>
      </c>
      <c r="M15" s="160"/>
    </row>
    <row r="16" spans="3:13" ht="12.75">
      <c r="C16" s="22">
        <v>5</v>
      </c>
      <c r="D16" s="146">
        <f>'Sheet 2'!D16</f>
        <v>65.61000000000001</v>
      </c>
      <c r="E16" s="153">
        <f>'Sheet 3'!D18</f>
        <v>13.560516491973662</v>
      </c>
      <c r="F16" s="147">
        <f t="shared" si="0"/>
        <v>0.20668368376731686</v>
      </c>
      <c r="G16" s="130">
        <f>'Sheet 3'!E18</f>
        <v>59.049000000000014</v>
      </c>
      <c r="H16" s="130">
        <f>-Detail!K155</f>
        <v>11.276509631048928</v>
      </c>
      <c r="I16" s="147">
        <f t="shared" si="1"/>
        <v>0.19096868077442336</v>
      </c>
      <c r="J16" s="130">
        <f t="shared" si="2"/>
        <v>6.561</v>
      </c>
      <c r="K16" s="130">
        <f>'Sheet 3'!K18</f>
        <v>2.284006860924734</v>
      </c>
      <c r="L16" s="148">
        <f t="shared" si="3"/>
        <v>0.3481187107033583</v>
      </c>
      <c r="M16" s="160"/>
    </row>
    <row r="17" spans="3:13" ht="12.75">
      <c r="C17" s="22">
        <v>6</v>
      </c>
      <c r="D17" s="146">
        <f>'Sheet 2'!D17</f>
        <v>59.049000000000014</v>
      </c>
      <c r="E17" s="153">
        <f>'Sheet 3'!D19</f>
        <v>12.204464842776257</v>
      </c>
      <c r="F17" s="147">
        <f t="shared" si="0"/>
        <v>0.20668368376731622</v>
      </c>
      <c r="G17" s="130">
        <f>'Sheet 3'!E19</f>
        <v>53.144100000000016</v>
      </c>
      <c r="H17" s="130">
        <f>-Detail!K156</f>
        <v>10.148858667944033</v>
      </c>
      <c r="I17" s="147">
        <f t="shared" si="1"/>
        <v>0.1909686807744233</v>
      </c>
      <c r="J17" s="130">
        <f t="shared" si="2"/>
        <v>5.904899999999998</v>
      </c>
      <c r="K17" s="130">
        <f>'Sheet 3'!K19</f>
        <v>2.0556061748322243</v>
      </c>
      <c r="L17" s="148">
        <f t="shared" si="3"/>
        <v>0.3481187107033523</v>
      </c>
      <c r="M17" s="160"/>
    </row>
    <row r="18" spans="3:13" ht="12.75">
      <c r="C18" s="22">
        <v>7</v>
      </c>
      <c r="D18" s="146">
        <f>'Sheet 2'!D18</f>
        <v>53.144100000000016</v>
      </c>
      <c r="E18" s="153">
        <f>'Sheet 3'!D20</f>
        <v>10.984018358498624</v>
      </c>
      <c r="F18" s="147">
        <f t="shared" si="0"/>
        <v>0.20668368376731605</v>
      </c>
      <c r="G18" s="130">
        <f>'Sheet 3'!E20</f>
        <v>47.829690000000014</v>
      </c>
      <c r="H18" s="130">
        <f>-Detail!K157</f>
        <v>9.133972801149596</v>
      </c>
      <c r="I18" s="147">
        <f t="shared" si="1"/>
        <v>0.1909686807744226</v>
      </c>
      <c r="J18" s="130">
        <f t="shared" si="2"/>
        <v>5.314410000000002</v>
      </c>
      <c r="K18" s="130">
        <f>'Sheet 3'!K20</f>
        <v>1.850045557349027</v>
      </c>
      <c r="L18" s="148">
        <f t="shared" si="3"/>
        <v>0.34811871070335676</v>
      </c>
      <c r="M18" s="160"/>
    </row>
    <row r="19" spans="3:13" ht="11.25" customHeight="1">
      <c r="C19" s="22">
        <v>8</v>
      </c>
      <c r="D19" s="146">
        <f>'Sheet 2'!D19</f>
        <v>47.829690000000014</v>
      </c>
      <c r="E19" s="153">
        <f>'Sheet 3'!D21</f>
        <v>9.885616522648782</v>
      </c>
      <c r="F19" s="147">
        <f t="shared" si="0"/>
        <v>0.20668368376731647</v>
      </c>
      <c r="G19" s="130">
        <f>'Sheet 3'!E21</f>
        <v>43.04672100000001</v>
      </c>
      <c r="H19" s="130">
        <f>-Detail!K158</f>
        <v>8.220575521034661</v>
      </c>
      <c r="I19" s="147">
        <f t="shared" si="1"/>
        <v>0.1909686807744232</v>
      </c>
      <c r="J19" s="130">
        <f t="shared" si="2"/>
        <v>4.782969000000001</v>
      </c>
      <c r="K19" s="130">
        <f>'Sheet 3'!K21</f>
        <v>1.6650410016141208</v>
      </c>
      <c r="L19" s="148">
        <f t="shared" si="3"/>
        <v>0.3481187107033561</v>
      </c>
      <c r="M19" s="160"/>
    </row>
    <row r="20" spans="3:13" ht="12.75">
      <c r="C20" s="22">
        <v>9</v>
      </c>
      <c r="D20" s="146">
        <f>'Sheet 2'!D20</f>
        <v>43.04672100000001</v>
      </c>
      <c r="E20" s="153">
        <f>'Sheet 3'!D22</f>
        <v>8.897054870383908</v>
      </c>
      <c r="F20" s="147">
        <f t="shared" si="0"/>
        <v>0.20668368376731658</v>
      </c>
      <c r="G20" s="130">
        <f>'Sheet 3'!E22</f>
        <v>38.742048900000015</v>
      </c>
      <c r="H20" s="130">
        <f>-Detail!K159</f>
        <v>7.398517968931186</v>
      </c>
      <c r="I20" s="147">
        <f t="shared" si="1"/>
        <v>0.19096868077442294</v>
      </c>
      <c r="J20" s="130">
        <f t="shared" si="2"/>
        <v>4.304672099999998</v>
      </c>
      <c r="K20" s="130">
        <f>'Sheet 3'!K22</f>
        <v>1.498536901452722</v>
      </c>
      <c r="L20" s="148">
        <f t="shared" si="3"/>
        <v>0.3481187107033594</v>
      </c>
      <c r="M20" s="160"/>
    </row>
    <row r="21" spans="3:13" ht="12.75">
      <c r="C21" s="23">
        <v>10</v>
      </c>
      <c r="D21" s="154">
        <f>'Sheet 2'!D21</f>
        <v>38.742048900000015</v>
      </c>
      <c r="E21" s="155">
        <f>'Sheet 3'!D23</f>
        <v>8.0073493833455</v>
      </c>
      <c r="F21" s="149">
        <f t="shared" si="0"/>
        <v>0.20668368376731613</v>
      </c>
      <c r="G21" s="138">
        <f>'Sheet 3'!E23</f>
        <v>34.86784401000001</v>
      </c>
      <c r="H21" s="138">
        <f>-Detail!K160</f>
        <v>6.658666172038072</v>
      </c>
      <c r="I21" s="149">
        <f t="shared" si="1"/>
        <v>0.19096868077442306</v>
      </c>
      <c r="J21" s="138">
        <f t="shared" si="2"/>
        <v>3.8742048900000015</v>
      </c>
      <c r="K21" s="138">
        <f>'Sheet 3'!K23</f>
        <v>1.3486832113074287</v>
      </c>
      <c r="L21" s="150">
        <f t="shared" si="3"/>
        <v>0.3481187107033537</v>
      </c>
      <c r="M21" s="160"/>
    </row>
    <row r="22" ht="14.25" customHeight="1"/>
    <row r="34" ht="3.75" customHeight="1"/>
  </sheetData>
  <printOptions/>
  <pageMargins left="0.75" right="0.75" top="1" bottom="1" header="0.5" footer="0.5"/>
  <pageSetup horizontalDpi="600" verticalDpi="600" orientation="landscape" scale="66" r:id="rId1"/>
  <headerFooter alignWithMargins="0"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80"/>
  <sheetViews>
    <sheetView zoomScale="75" zoomScaleNormal="75" workbookViewId="0" topLeftCell="A105">
      <selection activeCell="B132" sqref="B132"/>
    </sheetView>
  </sheetViews>
  <sheetFormatPr defaultColWidth="9.140625" defaultRowHeight="12.75"/>
  <cols>
    <col min="1" max="1" width="16.28125" style="0" customWidth="1"/>
    <col min="2" max="2" width="13.28125" style="0" customWidth="1"/>
    <col min="3" max="3" width="14.57421875" style="0" customWidth="1"/>
    <col min="4" max="4" width="18.00390625" style="0" customWidth="1"/>
    <col min="5" max="5" width="15.7109375" style="0" customWidth="1"/>
    <col min="6" max="6" width="13.57421875" style="0" customWidth="1"/>
    <col min="7" max="7" width="15.8515625" style="0" customWidth="1"/>
    <col min="8" max="8" width="13.57421875" style="0" customWidth="1"/>
    <col min="9" max="9" width="13.8515625" style="0" customWidth="1"/>
    <col min="10" max="10" width="14.57421875" style="0" customWidth="1"/>
    <col min="11" max="11" width="18.57421875" style="0" customWidth="1"/>
    <col min="12" max="12" width="14.7109375" style="0" customWidth="1"/>
    <col min="13" max="13" width="13.8515625" style="0" customWidth="1"/>
    <col min="14" max="14" width="12.8515625" style="0" customWidth="1"/>
    <col min="15" max="16" width="9.7109375" style="0" bestFit="1" customWidth="1"/>
  </cols>
  <sheetData>
    <row r="1" spans="1:11" ht="12.75">
      <c r="A1" s="58"/>
      <c r="B1" s="92" t="s">
        <v>57</v>
      </c>
      <c r="C1" s="58"/>
      <c r="D1" s="58"/>
      <c r="E1" s="58"/>
      <c r="F1" s="58"/>
      <c r="G1" s="58"/>
      <c r="H1" s="84"/>
      <c r="I1" s="58"/>
      <c r="J1" s="58"/>
      <c r="K1" s="58"/>
    </row>
    <row r="2" spans="1:11" ht="12.75">
      <c r="A2" s="58"/>
      <c r="B2" s="58"/>
      <c r="C2" s="58"/>
      <c r="D2" s="58"/>
      <c r="E2" s="58"/>
      <c r="F2" s="58"/>
      <c r="G2" s="58"/>
      <c r="H2" s="84"/>
      <c r="I2" s="58"/>
      <c r="J2" s="59"/>
      <c r="K2" s="59"/>
    </row>
    <row r="3" spans="1:12" ht="12.75">
      <c r="A3" s="70"/>
      <c r="B3" s="85"/>
      <c r="C3" s="71"/>
      <c r="D3" s="89" t="s">
        <v>90</v>
      </c>
      <c r="E3" s="71"/>
      <c r="F3" s="71"/>
      <c r="G3" s="71"/>
      <c r="H3" s="71"/>
      <c r="I3" s="71"/>
      <c r="K3" s="5"/>
      <c r="L3" s="46"/>
    </row>
    <row r="4" spans="1:12" ht="12.75">
      <c r="A4" s="46" t="s">
        <v>0</v>
      </c>
      <c r="B4" s="46"/>
      <c r="C4" s="46" t="s">
        <v>1</v>
      </c>
      <c r="D4" s="46" t="s">
        <v>81</v>
      </c>
      <c r="E4" s="46" t="s">
        <v>18</v>
      </c>
      <c r="F4" s="46" t="s">
        <v>13</v>
      </c>
      <c r="G4" s="59"/>
      <c r="H4" s="46" t="s">
        <v>59</v>
      </c>
      <c r="I4" s="46" t="s">
        <v>37</v>
      </c>
      <c r="J4" s="67" t="s">
        <v>10</v>
      </c>
      <c r="K4" s="46"/>
      <c r="L4" s="46"/>
    </row>
    <row r="5" spans="1:12" ht="13.5">
      <c r="A5" s="46" t="s">
        <v>29</v>
      </c>
      <c r="B5" s="46"/>
      <c r="C5" s="46" t="s">
        <v>8</v>
      </c>
      <c r="D5" s="46" t="s">
        <v>89</v>
      </c>
      <c r="E5" s="46" t="s">
        <v>4</v>
      </c>
      <c r="F5" s="46" t="s">
        <v>3</v>
      </c>
      <c r="G5" s="46" t="s">
        <v>33</v>
      </c>
      <c r="H5" s="46" t="s">
        <v>60</v>
      </c>
      <c r="I5" s="67" t="s">
        <v>55</v>
      </c>
      <c r="J5" s="67" t="s">
        <v>5</v>
      </c>
      <c r="K5" s="46"/>
      <c r="L5" s="67"/>
    </row>
    <row r="6" spans="1:12" ht="12.75">
      <c r="A6" s="70"/>
      <c r="B6" s="70"/>
      <c r="C6" s="73"/>
      <c r="D6" s="73"/>
      <c r="E6" s="73"/>
      <c r="F6" s="60"/>
      <c r="H6" s="73"/>
      <c r="I6" s="48"/>
      <c r="K6" s="2"/>
      <c r="L6" s="5"/>
    </row>
    <row r="7" spans="1:12" ht="12.75">
      <c r="A7" s="70">
        <v>0</v>
      </c>
      <c r="B7" s="86"/>
      <c r="C7" s="5"/>
      <c r="D7" s="5"/>
      <c r="E7" s="5"/>
      <c r="F7" s="15"/>
      <c r="G7" s="2"/>
      <c r="H7" s="5"/>
      <c r="I7" s="36"/>
      <c r="J7" s="91">
        <f aca="true" t="shared" si="0" ref="J7:J17">H8-$I$8*G8</f>
        <v>0</v>
      </c>
      <c r="K7" s="117"/>
      <c r="L7" s="76"/>
    </row>
    <row r="8" spans="1:12" ht="12.75">
      <c r="A8" s="5">
        <v>1</v>
      </c>
      <c r="B8" s="83"/>
      <c r="C8" s="29">
        <v>100</v>
      </c>
      <c r="D8" s="29">
        <v>10</v>
      </c>
      <c r="E8" s="87"/>
      <c r="F8" s="15">
        <v>0.07</v>
      </c>
      <c r="G8" s="56">
        <f>C8+G9/(1+F8)</f>
        <v>517.848253598826</v>
      </c>
      <c r="H8" s="29">
        <f>(D8/(1+F8)^(0.5))+(H9)/(1+F8)</f>
        <v>215.99844044086623</v>
      </c>
      <c r="I8" s="90">
        <f>H8/G8</f>
        <v>0.4171075965589699</v>
      </c>
      <c r="J8" s="91">
        <f t="shared" si="0"/>
        <v>34.28643239902118</v>
      </c>
      <c r="K8" s="117"/>
      <c r="L8" s="76"/>
    </row>
    <row r="9" spans="1:12" ht="12.75">
      <c r="A9" s="5">
        <v>2</v>
      </c>
      <c r="B9" s="83"/>
      <c r="C9" s="29">
        <f>0.9*C8</f>
        <v>90</v>
      </c>
      <c r="D9" s="29">
        <v>15</v>
      </c>
      <c r="E9" s="87"/>
      <c r="F9" s="15">
        <v>0.07</v>
      </c>
      <c r="G9" s="56">
        <f aca="true" t="shared" si="1" ref="G9:G17">C9+G10/(1+F9)</f>
        <v>447.0976313507438</v>
      </c>
      <c r="H9" s="29">
        <f aca="true" t="shared" si="2" ref="H9:H17">(D9/(1+F9)^(0.5))+(H10)/(1+F9)</f>
        <v>220.7742508389383</v>
      </c>
      <c r="J9" s="91">
        <f t="shared" si="0"/>
        <v>61.33782356639858</v>
      </c>
      <c r="K9" s="117"/>
      <c r="L9" s="76"/>
    </row>
    <row r="10" spans="1:12" ht="12.75">
      <c r="A10" s="5">
        <v>3</v>
      </c>
      <c r="B10" s="83"/>
      <c r="C10" s="29">
        <f aca="true" t="shared" si="3" ref="C10:C17">0.9*C9</f>
        <v>81</v>
      </c>
      <c r="D10" s="29">
        <v>20</v>
      </c>
      <c r="E10" s="87"/>
      <c r="F10" s="15">
        <v>0.07</v>
      </c>
      <c r="G10" s="56">
        <f t="shared" si="1"/>
        <v>382.0944655452959</v>
      </c>
      <c r="H10" s="29">
        <f t="shared" si="2"/>
        <v>220.7123277484811</v>
      </c>
      <c r="J10" s="91">
        <f t="shared" si="0"/>
        <v>81.09402574423518</v>
      </c>
      <c r="K10" s="117"/>
      <c r="L10" s="76"/>
    </row>
    <row r="11" spans="1:12" ht="12.75">
      <c r="A11" s="5">
        <v>4</v>
      </c>
      <c r="B11" s="83"/>
      <c r="C11" s="29">
        <f t="shared" si="3"/>
        <v>72.9</v>
      </c>
      <c r="D11" s="29">
        <v>25</v>
      </c>
      <c r="E11" s="87"/>
      <c r="F11" s="15">
        <v>0.07</v>
      </c>
      <c r="G11" s="56">
        <f t="shared" si="1"/>
        <v>322.17107813346666</v>
      </c>
      <c r="H11" s="29">
        <f t="shared" si="2"/>
        <v>215.47402982529758</v>
      </c>
      <c r="J11" s="91">
        <f t="shared" si="0"/>
        <v>93.4460503187495</v>
      </c>
      <c r="K11" s="117"/>
      <c r="L11" s="76"/>
    </row>
    <row r="12" spans="1:12" ht="12.75">
      <c r="A12" s="5">
        <v>5</v>
      </c>
      <c r="B12" s="83"/>
      <c r="C12" s="29">
        <f t="shared" si="3"/>
        <v>65.61000000000001</v>
      </c>
      <c r="D12" s="29">
        <v>30</v>
      </c>
      <c r="E12" s="87"/>
      <c r="F12" s="15">
        <v>0.07</v>
      </c>
      <c r="G12" s="56">
        <f t="shared" si="1"/>
        <v>266.72005360280934</v>
      </c>
      <c r="H12" s="29">
        <f t="shared" si="2"/>
        <v>204.69701083109692</v>
      </c>
      <c r="J12" s="91">
        <f t="shared" si="0"/>
        <v>98.23711201164654</v>
      </c>
      <c r="K12" s="117"/>
      <c r="L12" s="76"/>
    </row>
    <row r="13" spans="1:12" ht="12.75">
      <c r="A13" s="5">
        <v>6</v>
      </c>
      <c r="B13" s="83"/>
      <c r="C13" s="29">
        <f t="shared" si="3"/>
        <v>59.049000000000014</v>
      </c>
      <c r="D13" s="29">
        <v>35</v>
      </c>
      <c r="E13" s="87"/>
      <c r="F13" s="15">
        <v>0.07</v>
      </c>
      <c r="G13" s="56">
        <f t="shared" si="1"/>
        <v>215.18775735500603</v>
      </c>
      <c r="H13" s="29">
        <f t="shared" si="2"/>
        <v>187.9935602909079</v>
      </c>
      <c r="J13" s="91">
        <f t="shared" si="0"/>
        <v>95.26329985975707</v>
      </c>
      <c r="K13" s="117"/>
      <c r="L13" s="76"/>
    </row>
    <row r="14" spans="1:12" ht="12.75">
      <c r="A14" s="5">
        <v>7</v>
      </c>
      <c r="B14" s="83"/>
      <c r="C14" s="29">
        <f t="shared" si="3"/>
        <v>53.144100000000016</v>
      </c>
      <c r="D14" s="29">
        <v>40</v>
      </c>
      <c r="E14" s="87"/>
      <c r="F14" s="15">
        <v>0.07</v>
      </c>
      <c r="G14" s="56">
        <f t="shared" si="1"/>
        <v>167.06847036985644</v>
      </c>
      <c r="H14" s="29">
        <f t="shared" si="2"/>
        <v>164.94882799651137</v>
      </c>
      <c r="J14" s="91">
        <f t="shared" si="0"/>
        <v>84.27389348863551</v>
      </c>
      <c r="K14" s="117"/>
      <c r="L14" s="76"/>
    </row>
    <row r="15" spans="1:12" ht="12.75">
      <c r="A15" s="5">
        <v>8</v>
      </c>
      <c r="B15" s="83"/>
      <c r="C15" s="29">
        <f t="shared" si="3"/>
        <v>47.829690000000014</v>
      </c>
      <c r="D15" s="29">
        <v>45</v>
      </c>
      <c r="E15" s="87"/>
      <c r="F15" s="15">
        <v>0.07</v>
      </c>
      <c r="G15" s="56">
        <f t="shared" si="1"/>
        <v>121.89907629574638</v>
      </c>
      <c r="H15" s="29">
        <f t="shared" si="2"/>
        <v>135.11892422511278</v>
      </c>
      <c r="J15" s="91">
        <f t="shared" si="0"/>
        <v>64.97134001815613</v>
      </c>
      <c r="K15" s="117"/>
      <c r="L15" s="76"/>
    </row>
    <row r="16" spans="1:12" ht="12.75">
      <c r="A16" s="5">
        <v>9</v>
      </c>
      <c r="B16" s="83"/>
      <c r="C16" s="29">
        <f t="shared" si="3"/>
        <v>43.04672100000001</v>
      </c>
      <c r="D16" s="29">
        <v>50</v>
      </c>
      <c r="E16" s="87"/>
      <c r="F16" s="15">
        <v>0.07</v>
      </c>
      <c r="G16" s="56">
        <f t="shared" si="1"/>
        <v>79.25424333644862</v>
      </c>
      <c r="H16" s="29">
        <f t="shared" si="2"/>
        <v>98.02888697332196</v>
      </c>
      <c r="J16" s="91">
        <f t="shared" si="0"/>
        <v>37.01090399506241</v>
      </c>
      <c r="K16" s="117"/>
      <c r="L16" s="76"/>
    </row>
    <row r="17" spans="1:13" ht="12.75">
      <c r="A17" s="5">
        <v>10</v>
      </c>
      <c r="B17" s="83"/>
      <c r="C17" s="29">
        <f t="shared" si="3"/>
        <v>38.742048900000015</v>
      </c>
      <c r="D17" s="29">
        <v>55</v>
      </c>
      <c r="E17" s="87"/>
      <c r="F17" s="15">
        <v>0.07</v>
      </c>
      <c r="G17" s="56">
        <f t="shared" si="1"/>
        <v>38.742048900000015</v>
      </c>
      <c r="H17" s="29">
        <f t="shared" si="2"/>
        <v>53.1705068975115</v>
      </c>
      <c r="J17" s="91">
        <f t="shared" si="0"/>
        <v>0</v>
      </c>
      <c r="K17" s="117"/>
      <c r="L17" s="76"/>
      <c r="M17" s="117">
        <f>-0.6*J17</f>
        <v>0</v>
      </c>
    </row>
    <row r="18" spans="1:13" ht="12.7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22" ht="12.75">
      <c r="B22" s="62" t="s">
        <v>54</v>
      </c>
    </row>
    <row r="23" spans="11:12" ht="12.75">
      <c r="K23" s="69"/>
      <c r="L23" s="68"/>
    </row>
    <row r="24" spans="1:16" ht="12.75">
      <c r="A24" s="2"/>
      <c r="B24" s="2"/>
      <c r="C24" s="2"/>
      <c r="D24" s="2"/>
      <c r="E24" s="2"/>
      <c r="F24" s="2"/>
      <c r="G24" s="2"/>
      <c r="H24" s="46" t="s">
        <v>13</v>
      </c>
      <c r="I24" s="2"/>
      <c r="J24" s="2"/>
      <c r="K24" s="2"/>
      <c r="L24" s="2"/>
      <c r="M24" s="2"/>
      <c r="N24" s="2"/>
      <c r="O24" s="2"/>
      <c r="P24" s="58"/>
    </row>
    <row r="25" spans="1:16" ht="12.75">
      <c r="A25" s="46" t="s">
        <v>0</v>
      </c>
      <c r="B25" s="46"/>
      <c r="C25" s="46" t="s">
        <v>1</v>
      </c>
      <c r="D25" s="46" t="s">
        <v>16</v>
      </c>
      <c r="E25" s="46" t="s">
        <v>17</v>
      </c>
      <c r="F25" s="46" t="s">
        <v>14</v>
      </c>
      <c r="G25" s="46" t="s">
        <v>1</v>
      </c>
      <c r="H25" s="46" t="s">
        <v>3</v>
      </c>
      <c r="I25" s="2"/>
      <c r="J25" s="46" t="s">
        <v>35</v>
      </c>
      <c r="K25" s="46" t="s">
        <v>36</v>
      </c>
      <c r="L25" s="46" t="s">
        <v>37</v>
      </c>
      <c r="M25" s="46" t="s">
        <v>40</v>
      </c>
      <c r="N25" s="46"/>
      <c r="O25" s="2"/>
      <c r="P25" s="58"/>
    </row>
    <row r="26" spans="1:16" ht="12.75">
      <c r="A26" s="46" t="s">
        <v>53</v>
      </c>
      <c r="B26" s="46"/>
      <c r="C26" s="46" t="s">
        <v>8</v>
      </c>
      <c r="D26" s="46" t="s">
        <v>4</v>
      </c>
      <c r="E26" s="46" t="s">
        <v>4</v>
      </c>
      <c r="F26" s="46" t="s">
        <v>4</v>
      </c>
      <c r="G26" s="46" t="s">
        <v>21</v>
      </c>
      <c r="H26" s="10"/>
      <c r="I26" s="46" t="s">
        <v>33</v>
      </c>
      <c r="J26" s="46" t="s">
        <v>34</v>
      </c>
      <c r="K26" s="46" t="s">
        <v>34</v>
      </c>
      <c r="L26" s="67" t="s">
        <v>55</v>
      </c>
      <c r="M26" s="46" t="s">
        <v>5</v>
      </c>
      <c r="N26" s="46"/>
      <c r="O26" s="2"/>
      <c r="P26" s="58"/>
    </row>
    <row r="27" spans="1:16" ht="12.75">
      <c r="A27" s="2">
        <v>0</v>
      </c>
      <c r="B27" s="55"/>
      <c r="C27" s="2"/>
      <c r="D27" s="2"/>
      <c r="E27" s="2"/>
      <c r="F27" s="2"/>
      <c r="G27" s="2"/>
      <c r="H27" s="15"/>
      <c r="I27" s="48"/>
      <c r="J27" s="8"/>
      <c r="K27" s="8"/>
      <c r="L27" s="8"/>
      <c r="M27" s="32">
        <f>K28-$L$28*I28</f>
        <v>0</v>
      </c>
      <c r="N27" s="8"/>
      <c r="O27" s="31"/>
      <c r="P27" s="58"/>
    </row>
    <row r="28" spans="1:16" ht="12.75">
      <c r="A28" s="2">
        <v>1</v>
      </c>
      <c r="B28" s="55"/>
      <c r="C28" s="31">
        <f>C8</f>
        <v>100</v>
      </c>
      <c r="D28" s="123">
        <f>0.15*C28</f>
        <v>15</v>
      </c>
      <c r="E28" s="31">
        <f>0.15*C28</f>
        <v>15</v>
      </c>
      <c r="F28" s="31">
        <f>0.5*C28</f>
        <v>50</v>
      </c>
      <c r="G28" s="31">
        <f>0.02*C28</f>
        <v>2</v>
      </c>
      <c r="H28" s="15">
        <v>0.07</v>
      </c>
      <c r="I28" s="48">
        <f>C28+I29/(1+H28)</f>
        <v>517.848253598826</v>
      </c>
      <c r="J28" s="32">
        <f>D28+E28+F28+G28</f>
        <v>82</v>
      </c>
      <c r="K28" s="32">
        <f>J28+K29/(1+H28)</f>
        <v>194.819028471683</v>
      </c>
      <c r="L28" s="36">
        <f>K28/I28</f>
        <v>0.37620871967371383</v>
      </c>
      <c r="M28" s="32">
        <f aca="true" t="shared" si="4" ref="M28:M37">K29-$L$28*I29</f>
        <v>-47.48566699491259</v>
      </c>
      <c r="N28" s="8"/>
      <c r="O28" s="31"/>
      <c r="P28" s="58"/>
    </row>
    <row r="29" spans="1:16" ht="12.75">
      <c r="A29" s="2">
        <v>2</v>
      </c>
      <c r="B29" s="55"/>
      <c r="C29" s="31">
        <f aca="true" t="shared" si="5" ref="C29:C37">C9</f>
        <v>90</v>
      </c>
      <c r="D29" s="123">
        <f aca="true" t="shared" si="6" ref="D29:D37">0.15*C29</f>
        <v>13.5</v>
      </c>
      <c r="E29" s="31">
        <v>0</v>
      </c>
      <c r="F29" s="31">
        <f>0.1*C29</f>
        <v>9</v>
      </c>
      <c r="G29" s="31">
        <f aca="true" t="shared" si="7" ref="G29:G37">0.02*C29</f>
        <v>1.8</v>
      </c>
      <c r="H29" s="15">
        <v>0.07</v>
      </c>
      <c r="I29" s="48">
        <f aca="true" t="shared" si="8" ref="I29:I37">C29+I30/(1+H29)</f>
        <v>447.0976313507438</v>
      </c>
      <c r="J29" s="32">
        <f aca="true" t="shared" si="9" ref="J29:J37">D29+E29+F29+G29</f>
        <v>24.3</v>
      </c>
      <c r="K29" s="32">
        <f aca="true" t="shared" si="10" ref="K29:K37">J29+K30/(1+H29)</f>
        <v>120.71636046470083</v>
      </c>
      <c r="L29" s="1"/>
      <c r="M29" s="32">
        <f t="shared" si="4"/>
        <v>-40.581763979977865</v>
      </c>
      <c r="N29" s="8"/>
      <c r="O29" s="2"/>
      <c r="P29" s="58"/>
    </row>
    <row r="30" spans="1:16" ht="12.75">
      <c r="A30" s="2">
        <v>3</v>
      </c>
      <c r="B30" s="55"/>
      <c r="C30" s="31">
        <f t="shared" si="5"/>
        <v>81</v>
      </c>
      <c r="D30" s="123">
        <f t="shared" si="6"/>
        <v>12.15</v>
      </c>
      <c r="E30" s="31">
        <v>0</v>
      </c>
      <c r="F30" s="31">
        <f aca="true" t="shared" si="11" ref="F30:F37">0.1*C30</f>
        <v>8.1</v>
      </c>
      <c r="G30" s="31">
        <f t="shared" si="7"/>
        <v>1.62</v>
      </c>
      <c r="H30" s="15">
        <v>0.07</v>
      </c>
      <c r="I30" s="48">
        <f t="shared" si="8"/>
        <v>382.0944655452959</v>
      </c>
      <c r="J30" s="32">
        <f t="shared" si="9"/>
        <v>21.87</v>
      </c>
      <c r="K30" s="32">
        <f t="shared" si="10"/>
        <v>103.16550569722989</v>
      </c>
      <c r="L30" s="1"/>
      <c r="M30" s="32">
        <f t="shared" si="4"/>
        <v>-34.21737772445553</v>
      </c>
      <c r="N30" s="8"/>
      <c r="O30" s="2"/>
      <c r="P30" s="58"/>
    </row>
    <row r="31" spans="1:16" ht="12.75">
      <c r="A31" s="2">
        <v>4</v>
      </c>
      <c r="B31" s="55"/>
      <c r="C31" s="31">
        <f t="shared" si="5"/>
        <v>72.9</v>
      </c>
      <c r="D31" s="123">
        <f t="shared" si="6"/>
        <v>10.935</v>
      </c>
      <c r="E31" s="31">
        <v>0</v>
      </c>
      <c r="F31" s="31">
        <f t="shared" si="11"/>
        <v>7.290000000000001</v>
      </c>
      <c r="G31" s="31">
        <f t="shared" si="7"/>
        <v>1.4580000000000002</v>
      </c>
      <c r="H31" s="15">
        <v>0.07</v>
      </c>
      <c r="I31" s="48">
        <f t="shared" si="8"/>
        <v>322.17107813346666</v>
      </c>
      <c r="J31" s="32">
        <f t="shared" si="9"/>
        <v>19.683</v>
      </c>
      <c r="K31" s="32">
        <f t="shared" si="10"/>
        <v>86.98619109603598</v>
      </c>
      <c r="L31" s="1"/>
      <c r="M31" s="32">
        <f t="shared" si="4"/>
        <v>-28.327995404458704</v>
      </c>
      <c r="N31" s="8"/>
      <c r="O31" s="2"/>
      <c r="P31" s="58"/>
    </row>
    <row r="32" spans="1:16" ht="12.75">
      <c r="A32" s="2">
        <v>5</v>
      </c>
      <c r="B32" s="55"/>
      <c r="C32" s="31">
        <f t="shared" si="5"/>
        <v>65.61000000000001</v>
      </c>
      <c r="D32" s="123">
        <f t="shared" si="6"/>
        <v>9.841500000000002</v>
      </c>
      <c r="E32" s="31">
        <v>0</v>
      </c>
      <c r="F32" s="31">
        <f t="shared" si="11"/>
        <v>6.561000000000002</v>
      </c>
      <c r="G32" s="31">
        <f t="shared" si="7"/>
        <v>1.3122000000000003</v>
      </c>
      <c r="H32" s="15">
        <v>0.07</v>
      </c>
      <c r="I32" s="48">
        <f t="shared" si="8"/>
        <v>266.72005360280934</v>
      </c>
      <c r="J32" s="32">
        <f t="shared" si="9"/>
        <v>17.714700000000004</v>
      </c>
      <c r="K32" s="32">
        <f t="shared" si="10"/>
        <v>72.01441447275852</v>
      </c>
      <c r="L32" s="1"/>
      <c r="M32" s="32">
        <f t="shared" si="4"/>
        <v>-22.854816198132994</v>
      </c>
      <c r="N32" s="8"/>
      <c r="O32" s="2"/>
      <c r="P32" s="58"/>
    </row>
    <row r="33" spans="1:16" ht="12.75">
      <c r="A33" s="2">
        <v>6</v>
      </c>
      <c r="B33" s="55"/>
      <c r="C33" s="31">
        <f t="shared" si="5"/>
        <v>59.049000000000014</v>
      </c>
      <c r="D33" s="123">
        <f t="shared" si="6"/>
        <v>8.857350000000002</v>
      </c>
      <c r="E33" s="31">
        <v>0</v>
      </c>
      <c r="F33" s="31">
        <f t="shared" si="11"/>
        <v>5.904900000000001</v>
      </c>
      <c r="G33" s="31">
        <f t="shared" si="7"/>
        <v>1.1809800000000004</v>
      </c>
      <c r="H33" s="15">
        <v>0.07</v>
      </c>
      <c r="I33" s="48">
        <f t="shared" si="8"/>
        <v>215.18775735500603</v>
      </c>
      <c r="J33" s="32">
        <f t="shared" si="9"/>
        <v>15.943230000000003</v>
      </c>
      <c r="K33" s="32">
        <f t="shared" si="10"/>
        <v>58.10069448585162</v>
      </c>
      <c r="L33" s="1"/>
      <c r="M33" s="32">
        <f t="shared" si="4"/>
        <v>-17.74412833582825</v>
      </c>
      <c r="N33" s="8"/>
      <c r="O33" s="2"/>
      <c r="P33" s="58"/>
    </row>
    <row r="34" spans="1:16" ht="12.75">
      <c r="A34" s="2">
        <v>7</v>
      </c>
      <c r="B34" s="55"/>
      <c r="C34" s="31">
        <f t="shared" si="5"/>
        <v>53.144100000000016</v>
      </c>
      <c r="D34" s="123">
        <f t="shared" si="6"/>
        <v>7.971615000000002</v>
      </c>
      <c r="E34" s="31">
        <v>0</v>
      </c>
      <c r="F34" s="31">
        <f t="shared" si="11"/>
        <v>5.314410000000002</v>
      </c>
      <c r="G34" s="31">
        <f t="shared" si="7"/>
        <v>1.0628820000000003</v>
      </c>
      <c r="H34" s="15">
        <v>0.07</v>
      </c>
      <c r="I34" s="48">
        <f t="shared" si="8"/>
        <v>167.06847036985644</v>
      </c>
      <c r="J34" s="32">
        <f t="shared" si="9"/>
        <v>14.348907000000004</v>
      </c>
      <c r="K34" s="32">
        <f t="shared" si="10"/>
        <v>45.108486999861235</v>
      </c>
      <c r="L34" s="1"/>
      <c r="M34" s="32">
        <f t="shared" si="4"/>
        <v>-12.946744822779586</v>
      </c>
      <c r="N34" s="8"/>
      <c r="O34" s="2"/>
      <c r="P34" s="58"/>
    </row>
    <row r="35" spans="1:16" ht="12.75">
      <c r="A35" s="2">
        <v>8</v>
      </c>
      <c r="B35" s="55"/>
      <c r="C35" s="31">
        <f t="shared" si="5"/>
        <v>47.829690000000014</v>
      </c>
      <c r="D35" s="123">
        <f t="shared" si="6"/>
        <v>7.174453500000002</v>
      </c>
      <c r="E35" s="31">
        <v>0</v>
      </c>
      <c r="F35" s="31">
        <f t="shared" si="11"/>
        <v>4.782969000000001</v>
      </c>
      <c r="G35" s="31">
        <f t="shared" si="7"/>
        <v>0.9565938000000003</v>
      </c>
      <c r="H35" s="15">
        <v>0.07</v>
      </c>
      <c r="I35" s="48">
        <f t="shared" si="8"/>
        <v>121.89907629574638</v>
      </c>
      <c r="J35" s="32">
        <f t="shared" si="9"/>
        <v>12.914016300000004</v>
      </c>
      <c r="K35" s="32">
        <f t="shared" si="10"/>
        <v>32.91275059985152</v>
      </c>
      <c r="L35" s="1"/>
      <c r="M35" s="32">
        <f t="shared" si="4"/>
        <v>-8.417491713473172</v>
      </c>
      <c r="N35" s="8"/>
      <c r="O35" s="2"/>
      <c r="P35" s="58"/>
    </row>
    <row r="36" spans="1:16" ht="12.75">
      <c r="A36" s="2">
        <v>9</v>
      </c>
      <c r="B36" s="55"/>
      <c r="C36" s="31">
        <f t="shared" si="5"/>
        <v>43.04672100000001</v>
      </c>
      <c r="D36" s="123">
        <f t="shared" si="6"/>
        <v>6.457008150000002</v>
      </c>
      <c r="E36" s="31">
        <v>0</v>
      </c>
      <c r="F36" s="31">
        <f t="shared" si="11"/>
        <v>4.304672100000001</v>
      </c>
      <c r="G36" s="31">
        <f t="shared" si="7"/>
        <v>0.8609344200000003</v>
      </c>
      <c r="H36" s="15">
        <v>0.07</v>
      </c>
      <c r="I36" s="48">
        <f t="shared" si="8"/>
        <v>79.25424333644862</v>
      </c>
      <c r="J36" s="32">
        <f t="shared" si="9"/>
        <v>11.622614670000003</v>
      </c>
      <c r="K36" s="32">
        <f t="shared" si="10"/>
        <v>21.39864570084113</v>
      </c>
      <c r="L36" s="1"/>
      <c r="M36" s="32">
        <f t="shared" si="4"/>
        <v>-4.114743411205415</v>
      </c>
      <c r="N36" s="8"/>
      <c r="O36" s="2"/>
      <c r="P36" s="58"/>
    </row>
    <row r="37" spans="1:16" ht="12.75">
      <c r="A37" s="2">
        <v>10</v>
      </c>
      <c r="B37" s="55"/>
      <c r="C37" s="31">
        <f t="shared" si="5"/>
        <v>38.742048900000015</v>
      </c>
      <c r="D37" s="123">
        <f t="shared" si="6"/>
        <v>5.811307335000002</v>
      </c>
      <c r="E37" s="31">
        <v>0</v>
      </c>
      <c r="F37" s="31">
        <f t="shared" si="11"/>
        <v>3.8742048900000015</v>
      </c>
      <c r="G37" s="31">
        <f t="shared" si="7"/>
        <v>0.7748409780000003</v>
      </c>
      <c r="H37" s="15">
        <v>0.07</v>
      </c>
      <c r="I37" s="48">
        <f t="shared" si="8"/>
        <v>38.742048900000015</v>
      </c>
      <c r="J37" s="32">
        <f t="shared" si="9"/>
        <v>10.460353203000004</v>
      </c>
      <c r="K37" s="32">
        <f t="shared" si="10"/>
        <v>10.460353203000004</v>
      </c>
      <c r="L37" s="1"/>
      <c r="M37" s="32">
        <f t="shared" si="4"/>
        <v>0</v>
      </c>
      <c r="N37" s="8"/>
      <c r="O37" s="2"/>
      <c r="P37" s="58"/>
    </row>
    <row r="38" spans="1:16" ht="12.75">
      <c r="A38" s="2"/>
      <c r="B38" s="2"/>
      <c r="C38" s="31"/>
      <c r="D38" s="31"/>
      <c r="E38" s="31"/>
      <c r="F38" s="31"/>
      <c r="G38" s="31"/>
      <c r="H38" s="2"/>
      <c r="I38" s="31"/>
      <c r="J38" s="2"/>
      <c r="K38" s="2"/>
      <c r="L38" s="2"/>
      <c r="M38" s="66"/>
      <c r="N38" s="2"/>
      <c r="O38" s="2"/>
      <c r="P38" s="58"/>
    </row>
    <row r="39" spans="1:16" ht="12.7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2:11" ht="12.75">
      <c r="B40" s="62" t="s">
        <v>56</v>
      </c>
      <c r="G40" s="24"/>
      <c r="H40" s="2"/>
      <c r="I40" s="33"/>
      <c r="J40" s="34"/>
      <c r="K40" s="2"/>
    </row>
    <row r="41" spans="7:12" ht="12.75">
      <c r="G41" s="2"/>
      <c r="H41" s="35" t="s">
        <v>91</v>
      </c>
      <c r="J41" s="126">
        <f>1-I8-L28</f>
        <v>0.20668368376731627</v>
      </c>
      <c r="L41" s="127"/>
    </row>
    <row r="42" spans="1:11" ht="12.75">
      <c r="A42" s="88"/>
      <c r="B42" s="89"/>
      <c r="C42" s="46" t="s">
        <v>31</v>
      </c>
      <c r="D42" s="46"/>
      <c r="E42" s="5"/>
      <c r="F42" s="46"/>
      <c r="G42" s="46"/>
      <c r="H42" s="89"/>
      <c r="I42" s="46"/>
      <c r="J42" s="58"/>
      <c r="K42" s="46"/>
    </row>
    <row r="43" spans="1:11" ht="12.75">
      <c r="A43" s="46" t="s">
        <v>0</v>
      </c>
      <c r="B43" s="46"/>
      <c r="C43" s="46" t="s">
        <v>1</v>
      </c>
      <c r="D43" s="46" t="s">
        <v>13</v>
      </c>
      <c r="E43" s="46" t="s">
        <v>81</v>
      </c>
      <c r="F43" s="46"/>
      <c r="G43" s="46" t="s">
        <v>84</v>
      </c>
      <c r="H43" s="46" t="s">
        <v>84</v>
      </c>
      <c r="I43" s="46" t="s">
        <v>11</v>
      </c>
      <c r="J43" s="111" t="s">
        <v>87</v>
      </c>
      <c r="K43" s="46"/>
    </row>
    <row r="44" spans="1:11" ht="14.25">
      <c r="A44" s="46" t="s">
        <v>58</v>
      </c>
      <c r="B44" s="46"/>
      <c r="C44" s="46" t="s">
        <v>8</v>
      </c>
      <c r="D44" s="46" t="s">
        <v>8</v>
      </c>
      <c r="E44" s="46" t="s">
        <v>60</v>
      </c>
      <c r="F44" s="46" t="s">
        <v>83</v>
      </c>
      <c r="G44" s="46" t="s">
        <v>85</v>
      </c>
      <c r="H44" s="46" t="s">
        <v>41</v>
      </c>
      <c r="I44" s="46" t="s">
        <v>86</v>
      </c>
      <c r="J44" s="111" t="s">
        <v>88</v>
      </c>
      <c r="K44" s="46"/>
    </row>
    <row r="45" spans="1:11" ht="12.75">
      <c r="A45" s="72"/>
      <c r="B45" s="72"/>
      <c r="C45" s="72"/>
      <c r="D45" s="72"/>
      <c r="E45" s="72"/>
      <c r="F45" s="72"/>
      <c r="G45" s="73"/>
      <c r="H45" s="2"/>
      <c r="I45" s="33"/>
      <c r="K45" s="74"/>
    </row>
    <row r="46" spans="1:11" ht="12.75">
      <c r="A46" s="5">
        <v>0</v>
      </c>
      <c r="B46" s="75"/>
      <c r="C46" s="72"/>
      <c r="D46" s="76"/>
      <c r="E46" s="76"/>
      <c r="F46" s="77"/>
      <c r="G46" s="5"/>
      <c r="H46" s="2"/>
      <c r="I46" s="78"/>
      <c r="J46" s="79"/>
      <c r="K46" s="80"/>
    </row>
    <row r="47" spans="1:12" ht="12.75">
      <c r="A47" s="5">
        <v>1</v>
      </c>
      <c r="B47" s="81"/>
      <c r="C47" s="82">
        <f>C28</f>
        <v>100</v>
      </c>
      <c r="D47" s="82">
        <f aca="true" t="shared" si="12" ref="D47:D56">H28*(J7+M27+C28*(1-$J$41)-J28)-((1+H28)^(0.5)-1)*D8</f>
        <v>-0.5308662191598139</v>
      </c>
      <c r="E47" s="82">
        <f>D8</f>
        <v>10</v>
      </c>
      <c r="F47" s="82">
        <f>J28</f>
        <v>82</v>
      </c>
      <c r="G47" s="29">
        <f>(J8-J7)</f>
        <v>34.28643239902118</v>
      </c>
      <c r="H47" s="66">
        <f>M28-M27</f>
        <v>-47.48566699491259</v>
      </c>
      <c r="I47" s="124">
        <f>C47+D47-E47-F47-G47-H47</f>
        <v>20.668368376731593</v>
      </c>
      <c r="J47" s="125">
        <f>I47/C47</f>
        <v>0.20668368376731594</v>
      </c>
      <c r="K47" s="128"/>
      <c r="L47" s="115"/>
    </row>
    <row r="48" spans="1:11" ht="12.75">
      <c r="A48" s="5">
        <v>2</v>
      </c>
      <c r="B48" s="81"/>
      <c r="C48" s="82">
        <f aca="true" t="shared" si="13" ref="C48:C56">C29</f>
        <v>90</v>
      </c>
      <c r="D48" s="82">
        <f t="shared" si="12"/>
        <v>1.8568257213706079</v>
      </c>
      <c r="E48" s="82">
        <f aca="true" t="shared" si="14" ref="E48:E56">D9</f>
        <v>15</v>
      </c>
      <c r="F48" s="82">
        <f aca="true" t="shared" si="15" ref="F48:F56">J29</f>
        <v>24.3</v>
      </c>
      <c r="G48" s="29">
        <f aca="true" t="shared" si="16" ref="G48:G56">(J9-J8)</f>
        <v>27.051391167377403</v>
      </c>
      <c r="H48" s="66">
        <f aca="true" t="shared" si="17" ref="H48:H56">M29-M28</f>
        <v>6.903903014934727</v>
      </c>
      <c r="I48" s="124">
        <f aca="true" t="shared" si="18" ref="I48:I56">C48+D48-E48-F48-G48-H48</f>
        <v>18.601531539058485</v>
      </c>
      <c r="J48" s="125">
        <f aca="true" t="shared" si="19" ref="J48:J56">I48/C48</f>
        <v>0.2066836837673165</v>
      </c>
      <c r="K48" s="128"/>
    </row>
    <row r="49" spans="1:11" ht="12.75">
      <c r="A49" s="5">
        <v>3</v>
      </c>
      <c r="B49" s="81"/>
      <c r="C49" s="82">
        <f t="shared" si="13"/>
        <v>81</v>
      </c>
      <c r="D49" s="82">
        <f t="shared" si="12"/>
        <v>3.731966818511567</v>
      </c>
      <c r="E49" s="82">
        <f t="shared" si="14"/>
        <v>20</v>
      </c>
      <c r="F49" s="82">
        <f t="shared" si="15"/>
        <v>21.87</v>
      </c>
      <c r="G49" s="29">
        <f t="shared" si="16"/>
        <v>19.7562021778366</v>
      </c>
      <c r="H49" s="66">
        <f t="shared" si="17"/>
        <v>6.364386255522334</v>
      </c>
      <c r="I49" s="124">
        <f t="shared" si="18"/>
        <v>16.74137838515263</v>
      </c>
      <c r="J49" s="125">
        <f t="shared" si="19"/>
        <v>0.2066836837673164</v>
      </c>
      <c r="K49" s="128"/>
    </row>
    <row r="50" spans="1:11" ht="12.75">
      <c r="A50" s="5">
        <v>4</v>
      </c>
      <c r="B50" s="81"/>
      <c r="C50" s="82">
        <f t="shared" si="13"/>
        <v>72.9</v>
      </c>
      <c r="D50" s="82">
        <f t="shared" si="12"/>
        <v>5.091647441148462</v>
      </c>
      <c r="E50" s="82">
        <f t="shared" si="14"/>
        <v>25</v>
      </c>
      <c r="F50" s="82">
        <f t="shared" si="15"/>
        <v>19.683</v>
      </c>
      <c r="G50" s="29">
        <f t="shared" si="16"/>
        <v>12.352024574514317</v>
      </c>
      <c r="H50" s="66">
        <f t="shared" si="17"/>
        <v>5.889382319996827</v>
      </c>
      <c r="I50" s="124">
        <f t="shared" si="18"/>
        <v>15.06724054663733</v>
      </c>
      <c r="J50" s="125">
        <f t="shared" si="19"/>
        <v>0.20668368376731588</v>
      </c>
      <c r="K50" s="128"/>
    </row>
    <row r="51" spans="1:11" ht="12.75">
      <c r="A51" s="5">
        <v>5</v>
      </c>
      <c r="B51" s="81"/>
      <c r="C51" s="82">
        <f t="shared" si="13"/>
        <v>65.61000000000001</v>
      </c>
      <c r="D51" s="82">
        <f t="shared" si="12"/>
        <v>5.929457391196403</v>
      </c>
      <c r="E51" s="82">
        <f t="shared" si="14"/>
        <v>30</v>
      </c>
      <c r="F51" s="82">
        <f t="shared" si="15"/>
        <v>17.714700000000004</v>
      </c>
      <c r="G51" s="29">
        <f t="shared" si="16"/>
        <v>4.7910616928970455</v>
      </c>
      <c r="H51" s="66">
        <f t="shared" si="17"/>
        <v>5.47317920632571</v>
      </c>
      <c r="I51" s="124">
        <f t="shared" si="18"/>
        <v>13.560516491973662</v>
      </c>
      <c r="J51" s="125">
        <f t="shared" si="19"/>
        <v>0.20668368376731686</v>
      </c>
      <c r="K51" s="128"/>
    </row>
    <row r="52" spans="1:11" ht="12.75">
      <c r="A52" s="5">
        <v>6</v>
      </c>
      <c r="B52" s="81"/>
      <c r="C52" s="82">
        <f t="shared" si="13"/>
        <v>59.049000000000014</v>
      </c>
      <c r="D52" s="82">
        <f t="shared" si="12"/>
        <v>6.2355705531915095</v>
      </c>
      <c r="E52" s="82">
        <f t="shared" si="14"/>
        <v>35</v>
      </c>
      <c r="F52" s="82">
        <f t="shared" si="15"/>
        <v>15.943230000000003</v>
      </c>
      <c r="G52" s="29">
        <f t="shared" si="16"/>
        <v>-2.973812151889476</v>
      </c>
      <c r="H52" s="66">
        <f t="shared" si="17"/>
        <v>5.110687862304744</v>
      </c>
      <c r="I52" s="124">
        <f t="shared" si="18"/>
        <v>12.204464842776257</v>
      </c>
      <c r="J52" s="125">
        <f t="shared" si="19"/>
        <v>0.20668368376731622</v>
      </c>
      <c r="K52" s="128"/>
    </row>
    <row r="53" spans="1:11" ht="12.75">
      <c r="A53" s="5">
        <v>7</v>
      </c>
      <c r="B53" s="81"/>
      <c r="C53" s="82">
        <f t="shared" si="13"/>
        <v>53.144100000000016</v>
      </c>
      <c r="D53" s="82">
        <f t="shared" si="12"/>
        <v>5.996802500425713</v>
      </c>
      <c r="E53" s="82">
        <f t="shared" si="14"/>
        <v>40</v>
      </c>
      <c r="F53" s="82">
        <f t="shared" si="15"/>
        <v>14.348907000000004</v>
      </c>
      <c r="G53" s="29">
        <f t="shared" si="16"/>
        <v>-10.98940637112156</v>
      </c>
      <c r="H53" s="66">
        <f t="shared" si="17"/>
        <v>4.797383513048665</v>
      </c>
      <c r="I53" s="124">
        <f t="shared" si="18"/>
        <v>10.984018358498624</v>
      </c>
      <c r="J53" s="125">
        <f t="shared" si="19"/>
        <v>0.20668368376731605</v>
      </c>
      <c r="K53" s="128"/>
    </row>
    <row r="54" spans="1:11" ht="12.75">
      <c r="A54" s="5">
        <v>8</v>
      </c>
      <c r="B54" s="81"/>
      <c r="C54" s="82">
        <f t="shared" si="13"/>
        <v>47.829690000000014</v>
      </c>
      <c r="D54" s="82">
        <f t="shared" si="12"/>
        <v>5.1966424614758004</v>
      </c>
      <c r="E54" s="82">
        <f t="shared" si="14"/>
        <v>45</v>
      </c>
      <c r="F54" s="82">
        <f t="shared" si="15"/>
        <v>12.914016300000004</v>
      </c>
      <c r="G54" s="29">
        <f t="shared" si="16"/>
        <v>-19.30255347047938</v>
      </c>
      <c r="H54" s="66">
        <f t="shared" si="17"/>
        <v>4.5292531093064134</v>
      </c>
      <c r="I54" s="124">
        <f t="shared" si="18"/>
        <v>9.885616522648782</v>
      </c>
      <c r="J54" s="125">
        <f t="shared" si="19"/>
        <v>0.20668368376731647</v>
      </c>
      <c r="K54" s="128"/>
    </row>
    <row r="55" spans="1:11" ht="12.75">
      <c r="A55" s="5">
        <v>9</v>
      </c>
      <c r="B55" s="81"/>
      <c r="C55" s="82">
        <f t="shared" si="13"/>
        <v>43.04672100000001</v>
      </c>
      <c r="D55" s="82">
        <f t="shared" si="12"/>
        <v>3.815260819557934</v>
      </c>
      <c r="E55" s="82">
        <f t="shared" si="14"/>
        <v>50</v>
      </c>
      <c r="F55" s="82">
        <f t="shared" si="15"/>
        <v>11.622614670000003</v>
      </c>
      <c r="G55" s="29">
        <f t="shared" si="16"/>
        <v>-27.96043602309372</v>
      </c>
      <c r="H55" s="66">
        <f t="shared" si="17"/>
        <v>4.302748302267757</v>
      </c>
      <c r="I55" s="124">
        <f t="shared" si="18"/>
        <v>8.897054870383908</v>
      </c>
      <c r="J55" s="125">
        <f t="shared" si="19"/>
        <v>0.20668368376731658</v>
      </c>
      <c r="K55" s="128"/>
    </row>
    <row r="56" spans="1:11" ht="12.75">
      <c r="A56" s="5">
        <v>10</v>
      </c>
      <c r="B56" s="83"/>
      <c r="C56" s="82">
        <f t="shared" si="13"/>
        <v>38.742048900000015</v>
      </c>
      <c r="D56" s="82">
        <f t="shared" si="12"/>
        <v>1.8294931024885024</v>
      </c>
      <c r="E56" s="82">
        <f t="shared" si="14"/>
        <v>55</v>
      </c>
      <c r="F56" s="82">
        <f t="shared" si="15"/>
        <v>10.460353203000004</v>
      </c>
      <c r="G56" s="29">
        <f t="shared" si="16"/>
        <v>-37.01090399506241</v>
      </c>
      <c r="H56" s="66">
        <f t="shared" si="17"/>
        <v>4.114743411205415</v>
      </c>
      <c r="I56" s="124">
        <f t="shared" si="18"/>
        <v>8.0073493833455</v>
      </c>
      <c r="J56" s="125">
        <f t="shared" si="19"/>
        <v>0.20668368376731613</v>
      </c>
      <c r="K56" s="128"/>
    </row>
    <row r="57" spans="1:11" ht="12.75">
      <c r="A57" s="58"/>
      <c r="B57" s="58"/>
      <c r="C57" s="58"/>
      <c r="D57" s="58"/>
      <c r="E57" s="58"/>
      <c r="F57" s="58"/>
      <c r="G57" s="58"/>
      <c r="H57" s="84"/>
      <c r="I57" s="58"/>
      <c r="J57" s="58"/>
      <c r="K57" s="58"/>
    </row>
    <row r="59" spans="2:7" ht="12.75">
      <c r="B59" s="62" t="s">
        <v>116</v>
      </c>
      <c r="F59" s="59" t="s">
        <v>102</v>
      </c>
      <c r="G59" s="59">
        <v>0.9</v>
      </c>
    </row>
    <row r="60" spans="9:10" ht="12.75">
      <c r="I60" s="67" t="s">
        <v>127</v>
      </c>
      <c r="J60" s="67" t="s">
        <v>127</v>
      </c>
    </row>
    <row r="61" spans="2:10" ht="12.75">
      <c r="B61" s="62"/>
      <c r="G61" s="67" t="s">
        <v>107</v>
      </c>
      <c r="I61" s="67" t="s">
        <v>128</v>
      </c>
      <c r="J61" s="67" t="s">
        <v>128</v>
      </c>
    </row>
    <row r="62" spans="2:10" ht="12.75">
      <c r="B62" s="46" t="s">
        <v>13</v>
      </c>
      <c r="C62" s="58"/>
      <c r="D62" s="67" t="s">
        <v>117</v>
      </c>
      <c r="F62" s="67" t="s">
        <v>107</v>
      </c>
      <c r="G62" s="67" t="s">
        <v>32</v>
      </c>
      <c r="I62" s="67" t="s">
        <v>44</v>
      </c>
      <c r="J62" s="67" t="s">
        <v>44</v>
      </c>
    </row>
    <row r="63" spans="1:10" ht="12.75">
      <c r="A63" s="46" t="s">
        <v>0</v>
      </c>
      <c r="B63" s="46" t="s">
        <v>3</v>
      </c>
      <c r="C63" s="111" t="s">
        <v>118</v>
      </c>
      <c r="D63" s="67" t="s">
        <v>3</v>
      </c>
      <c r="F63" s="67" t="s">
        <v>119</v>
      </c>
      <c r="G63" s="67" t="s">
        <v>108</v>
      </c>
      <c r="I63" s="67" t="s">
        <v>139</v>
      </c>
      <c r="J63" s="67" t="s">
        <v>145</v>
      </c>
    </row>
    <row r="64" spans="1:3" ht="12.75">
      <c r="A64" s="46" t="s">
        <v>53</v>
      </c>
      <c r="B64" s="60"/>
      <c r="C64" s="58"/>
    </row>
    <row r="65" spans="1:7" ht="12.75">
      <c r="A65" s="2">
        <v>0</v>
      </c>
      <c r="B65" s="15"/>
      <c r="C65" s="58"/>
      <c r="F65" s="161"/>
      <c r="G65" s="107"/>
    </row>
    <row r="66" spans="1:7" ht="12.75">
      <c r="A66" s="2">
        <v>1</v>
      </c>
      <c r="B66" s="15"/>
      <c r="C66" s="84"/>
      <c r="D66" s="162"/>
      <c r="E66" s="161"/>
      <c r="F66" s="161">
        <v>50</v>
      </c>
      <c r="G66" s="107">
        <f aca="true" t="shared" si="20" ref="G66:G74">$G$59*F66</f>
        <v>45</v>
      </c>
    </row>
    <row r="67" spans="1:10" ht="12.75">
      <c r="A67" s="2">
        <v>2</v>
      </c>
      <c r="B67" s="15">
        <v>0.07</v>
      </c>
      <c r="C67" s="84">
        <v>0.0025</v>
      </c>
      <c r="D67" s="162">
        <f aca="true" t="shared" si="21" ref="D67:D75">B67-C67</f>
        <v>0.0675</v>
      </c>
      <c r="E67" s="161"/>
      <c r="F67" s="161">
        <v>50</v>
      </c>
      <c r="G67" s="107">
        <f t="shared" si="20"/>
        <v>45</v>
      </c>
      <c r="I67" s="68">
        <f>G66</f>
        <v>45</v>
      </c>
      <c r="J67" s="68">
        <f>G67-(1+D67)*G66</f>
        <v>-3.0374999999999943</v>
      </c>
    </row>
    <row r="68" spans="1:10" ht="12.75">
      <c r="A68" s="2">
        <v>3</v>
      </c>
      <c r="B68" s="15">
        <v>0.07</v>
      </c>
      <c r="C68" s="84">
        <v>0.0025</v>
      </c>
      <c r="D68" s="162">
        <f t="shared" si="21"/>
        <v>0.0675</v>
      </c>
      <c r="E68" s="161"/>
      <c r="F68" s="161">
        <v>50</v>
      </c>
      <c r="G68" s="107">
        <f t="shared" si="20"/>
        <v>45</v>
      </c>
      <c r="J68" s="68">
        <f aca="true" t="shared" si="22" ref="J68:J75">G68-(1+D68)*G67</f>
        <v>-3.0374999999999943</v>
      </c>
    </row>
    <row r="69" spans="1:10" ht="12.75">
      <c r="A69" s="2">
        <v>4</v>
      </c>
      <c r="B69" s="15">
        <v>0.07</v>
      </c>
      <c r="C69" s="84">
        <v>0.0025</v>
      </c>
      <c r="D69" s="162">
        <f t="shared" si="21"/>
        <v>0.0675</v>
      </c>
      <c r="E69" s="161"/>
      <c r="F69" s="161">
        <f aca="true" t="shared" si="23" ref="F69:F74">F68*0.9</f>
        <v>45</v>
      </c>
      <c r="G69" s="107">
        <f t="shared" si="20"/>
        <v>40.5</v>
      </c>
      <c r="J69" s="68">
        <f t="shared" si="22"/>
        <v>-7.537499999999994</v>
      </c>
    </row>
    <row r="70" spans="1:10" ht="12.75">
      <c r="A70" s="2">
        <v>5</v>
      </c>
      <c r="B70" s="15">
        <v>0.07</v>
      </c>
      <c r="C70" s="84">
        <v>0.0025</v>
      </c>
      <c r="D70" s="162">
        <f t="shared" si="21"/>
        <v>0.0675</v>
      </c>
      <c r="E70" s="161"/>
      <c r="F70" s="161">
        <f t="shared" si="23"/>
        <v>40.5</v>
      </c>
      <c r="G70" s="107">
        <f t="shared" si="20"/>
        <v>36.45</v>
      </c>
      <c r="J70" s="68">
        <f t="shared" si="22"/>
        <v>-6.783749999999991</v>
      </c>
    </row>
    <row r="71" spans="1:10" ht="12.75">
      <c r="A71" s="2">
        <v>6</v>
      </c>
      <c r="B71" s="15">
        <v>0.07</v>
      </c>
      <c r="C71" s="84">
        <v>0.0025</v>
      </c>
      <c r="D71" s="162">
        <f t="shared" si="21"/>
        <v>0.0675</v>
      </c>
      <c r="E71" s="161"/>
      <c r="F71" s="161">
        <f t="shared" si="23"/>
        <v>36.45</v>
      </c>
      <c r="G71" s="107">
        <f t="shared" si="20"/>
        <v>32.80500000000001</v>
      </c>
      <c r="J71" s="68">
        <f t="shared" si="22"/>
        <v>-6.105374999999995</v>
      </c>
    </row>
    <row r="72" spans="1:10" ht="12.75">
      <c r="A72" s="2">
        <v>7</v>
      </c>
      <c r="B72" s="15">
        <v>0.07</v>
      </c>
      <c r="C72" s="84">
        <v>0.0025</v>
      </c>
      <c r="D72" s="162">
        <f t="shared" si="21"/>
        <v>0.0675</v>
      </c>
      <c r="E72" s="161"/>
      <c r="F72" s="161">
        <f t="shared" si="23"/>
        <v>32.80500000000001</v>
      </c>
      <c r="G72" s="107">
        <f t="shared" si="20"/>
        <v>29.524500000000007</v>
      </c>
      <c r="J72" s="68">
        <f t="shared" si="22"/>
        <v>-5.494837499999999</v>
      </c>
    </row>
    <row r="73" spans="1:10" ht="12.75">
      <c r="A73" s="2">
        <v>8</v>
      </c>
      <c r="B73" s="15">
        <v>0.07</v>
      </c>
      <c r="C73" s="84">
        <v>0.0025</v>
      </c>
      <c r="D73" s="162">
        <f t="shared" si="21"/>
        <v>0.0675</v>
      </c>
      <c r="E73" s="161"/>
      <c r="F73" s="161">
        <f t="shared" si="23"/>
        <v>29.524500000000007</v>
      </c>
      <c r="G73" s="107">
        <f t="shared" si="20"/>
        <v>26.572050000000008</v>
      </c>
      <c r="J73" s="68">
        <f t="shared" si="22"/>
        <v>-4.945353749999995</v>
      </c>
    </row>
    <row r="74" spans="1:10" ht="12.75">
      <c r="A74" s="2">
        <v>9</v>
      </c>
      <c r="B74" s="15">
        <v>0.07</v>
      </c>
      <c r="C74" s="84">
        <v>0.0025</v>
      </c>
      <c r="D74" s="162">
        <f t="shared" si="21"/>
        <v>0.0675</v>
      </c>
      <c r="E74" s="161"/>
      <c r="F74" s="161">
        <f t="shared" si="23"/>
        <v>26.572050000000008</v>
      </c>
      <c r="G74" s="107">
        <f t="shared" si="20"/>
        <v>23.914845000000007</v>
      </c>
      <c r="J74" s="68">
        <f t="shared" si="22"/>
        <v>-4.450818374999997</v>
      </c>
    </row>
    <row r="75" spans="1:10" ht="12.75">
      <c r="A75" s="2">
        <v>10</v>
      </c>
      <c r="B75" s="15">
        <v>0.07</v>
      </c>
      <c r="C75" s="84">
        <v>0.0025</v>
      </c>
      <c r="D75" s="162">
        <f t="shared" si="21"/>
        <v>0.0675</v>
      </c>
      <c r="J75" s="68">
        <f t="shared" si="22"/>
        <v>-25.529097037500005</v>
      </c>
    </row>
    <row r="76" spans="1:8" ht="12.75">
      <c r="A76" s="2"/>
      <c r="B76" s="58"/>
      <c r="C76" s="58"/>
      <c r="F76" s="161"/>
      <c r="G76" s="107"/>
      <c r="H76" s="58"/>
    </row>
    <row r="80" spans="1:11" ht="12.75">
      <c r="A80" s="58"/>
      <c r="B80" s="92" t="s">
        <v>109</v>
      </c>
      <c r="C80" s="58"/>
      <c r="D80" s="58"/>
      <c r="E80" s="58"/>
      <c r="F80" s="58"/>
      <c r="G80" s="58"/>
      <c r="H80" s="84"/>
      <c r="I80" s="58"/>
      <c r="J80" s="58"/>
      <c r="K80" s="58"/>
    </row>
    <row r="81" spans="1:11" ht="12.75">
      <c r="A81" s="58"/>
      <c r="B81" s="92"/>
      <c r="C81" s="58"/>
      <c r="D81" s="58"/>
      <c r="E81" s="58"/>
      <c r="F81" s="58"/>
      <c r="G81" s="58"/>
      <c r="H81" s="84"/>
      <c r="I81" s="58"/>
      <c r="J81" s="58"/>
      <c r="K81" s="58"/>
    </row>
    <row r="82" spans="1:12" ht="12.75">
      <c r="A82" s="58"/>
      <c r="B82" s="59" t="s">
        <v>102</v>
      </c>
      <c r="C82" s="59">
        <v>0.9</v>
      </c>
      <c r="D82" s="58"/>
      <c r="E82" s="58"/>
      <c r="F82" s="58"/>
      <c r="G82" s="58"/>
      <c r="H82" s="84"/>
      <c r="I82" s="58"/>
      <c r="J82" s="59"/>
      <c r="L82" s="46" t="s">
        <v>129</v>
      </c>
    </row>
    <row r="83" spans="1:12" ht="12.75">
      <c r="A83" s="58"/>
      <c r="B83" s="59"/>
      <c r="C83" s="59"/>
      <c r="D83" s="58"/>
      <c r="E83" s="58"/>
      <c r="F83" s="58"/>
      <c r="G83" s="58"/>
      <c r="H83" s="84"/>
      <c r="I83" s="58"/>
      <c r="J83" s="59"/>
      <c r="L83" s="46"/>
    </row>
    <row r="84" spans="1:12" ht="12.75">
      <c r="A84" s="70"/>
      <c r="B84" s="89" t="s">
        <v>139</v>
      </c>
      <c r="C84" s="67" t="s">
        <v>32</v>
      </c>
      <c r="D84" s="67" t="s">
        <v>93</v>
      </c>
      <c r="E84" s="89" t="s">
        <v>90</v>
      </c>
      <c r="F84" s="71"/>
      <c r="G84" s="71"/>
      <c r="H84" s="71"/>
      <c r="I84" s="71"/>
      <c r="J84" s="71"/>
      <c r="K84" s="67" t="s">
        <v>32</v>
      </c>
      <c r="L84" s="46" t="s">
        <v>114</v>
      </c>
    </row>
    <row r="85" spans="1:12" ht="12.75">
      <c r="A85" s="46" t="s">
        <v>0</v>
      </c>
      <c r="B85" s="46" t="s">
        <v>1</v>
      </c>
      <c r="C85" s="67" t="s">
        <v>1</v>
      </c>
      <c r="D85" s="89" t="s">
        <v>32</v>
      </c>
      <c r="E85" s="46" t="s">
        <v>81</v>
      </c>
      <c r="F85" s="46" t="s">
        <v>18</v>
      </c>
      <c r="G85" s="46" t="s">
        <v>13</v>
      </c>
      <c r="H85" s="59"/>
      <c r="I85" s="46" t="s">
        <v>59</v>
      </c>
      <c r="J85" s="46" t="s">
        <v>37</v>
      </c>
      <c r="K85" s="67" t="s">
        <v>10</v>
      </c>
      <c r="L85" s="46" t="s">
        <v>110</v>
      </c>
    </row>
    <row r="86" spans="1:12" ht="13.5">
      <c r="A86" s="46" t="s">
        <v>29</v>
      </c>
      <c r="B86" s="46" t="s">
        <v>32</v>
      </c>
      <c r="C86" s="67" t="s">
        <v>8</v>
      </c>
      <c r="D86" s="46" t="s">
        <v>1</v>
      </c>
      <c r="E86" s="46" t="s">
        <v>89</v>
      </c>
      <c r="F86" s="46" t="s">
        <v>4</v>
      </c>
      <c r="G86" s="46" t="s">
        <v>3</v>
      </c>
      <c r="H86" s="46" t="s">
        <v>33</v>
      </c>
      <c r="I86" s="46" t="s">
        <v>60</v>
      </c>
      <c r="J86" s="67" t="s">
        <v>55</v>
      </c>
      <c r="K86" s="67" t="s">
        <v>5</v>
      </c>
      <c r="L86" s="46" t="s">
        <v>111</v>
      </c>
    </row>
    <row r="87" spans="1:12" ht="12.75">
      <c r="A87" s="70"/>
      <c r="B87" s="70"/>
      <c r="D87" s="73"/>
      <c r="E87" s="73"/>
      <c r="F87" s="73"/>
      <c r="G87" s="60"/>
      <c r="I87" s="73"/>
      <c r="J87" s="48"/>
      <c r="L87" s="2"/>
    </row>
    <row r="88" spans="1:12" ht="12.75">
      <c r="A88" s="70">
        <v>0</v>
      </c>
      <c r="B88" s="86"/>
      <c r="D88" s="5"/>
      <c r="E88" s="5"/>
      <c r="F88" s="5"/>
      <c r="G88" s="15"/>
      <c r="H88" s="2"/>
      <c r="I88" s="5"/>
      <c r="J88" s="36"/>
      <c r="K88" s="91"/>
      <c r="L88" s="117"/>
    </row>
    <row r="89" spans="1:12" ht="12.75">
      <c r="A89" s="5">
        <v>1</v>
      </c>
      <c r="B89" s="83"/>
      <c r="D89" s="29"/>
      <c r="E89" s="29"/>
      <c r="F89" s="87"/>
      <c r="G89" s="15"/>
      <c r="H89" s="56"/>
      <c r="I89" s="29"/>
      <c r="J89" s="90"/>
      <c r="K89" s="91">
        <f aca="true" t="shared" si="24" ref="K89:K97">I90-$J$90*H90</f>
        <v>0</v>
      </c>
      <c r="L89" s="117">
        <f>-K89</f>
        <v>0</v>
      </c>
    </row>
    <row r="90" spans="1:12" ht="12.75">
      <c r="A90" s="5">
        <v>2</v>
      </c>
      <c r="B90" s="179">
        <v>45</v>
      </c>
      <c r="C90" s="29">
        <f>$C$82*C48</f>
        <v>81</v>
      </c>
      <c r="D90" s="158">
        <f>B90+C90</f>
        <v>126</v>
      </c>
      <c r="E90" s="29">
        <f aca="true" t="shared" si="25" ref="E90:E98">$C$82*D9</f>
        <v>13.5</v>
      </c>
      <c r="F90" s="87"/>
      <c r="G90" s="15">
        <v>0.07</v>
      </c>
      <c r="H90" s="56">
        <f aca="true" t="shared" si="26" ref="H90:H97">D90+H91/(1+G90)</f>
        <v>447.3878682156694</v>
      </c>
      <c r="I90" s="29">
        <f aca="true" t="shared" si="27" ref="I90:I97">(E90/(1+G90)^(0.5))+(I91)/(1+G90)</f>
        <v>198.69682575504444</v>
      </c>
      <c r="J90" s="90">
        <f>I90/H90</f>
        <v>0.4441265395673625</v>
      </c>
      <c r="K90" s="91">
        <f t="shared" si="24"/>
        <v>45.91263148020718</v>
      </c>
      <c r="L90" s="117">
        <f aca="true" t="shared" si="28" ref="L90:L98">-K90</f>
        <v>-45.91263148020718</v>
      </c>
    </row>
    <row r="91" spans="1:12" ht="12.75">
      <c r="A91" s="5">
        <v>3</v>
      </c>
      <c r="B91" s="83"/>
      <c r="C91" s="29">
        <f>$C$82*C49</f>
        <v>72.9</v>
      </c>
      <c r="D91" s="158">
        <f aca="true" t="shared" si="29" ref="D91:D98">B91+C91</f>
        <v>72.9</v>
      </c>
      <c r="E91" s="29">
        <f t="shared" si="25"/>
        <v>18</v>
      </c>
      <c r="F91" s="87"/>
      <c r="G91" s="15">
        <v>0.07</v>
      </c>
      <c r="H91" s="56">
        <f t="shared" si="26"/>
        <v>343.8850189907663</v>
      </c>
      <c r="I91" s="29">
        <f t="shared" si="27"/>
        <v>198.64109497363296</v>
      </c>
      <c r="K91" s="91">
        <f t="shared" si="24"/>
        <v>65.1503733706752</v>
      </c>
      <c r="L91" s="117">
        <f t="shared" si="28"/>
        <v>-65.1503733706752</v>
      </c>
    </row>
    <row r="92" spans="1:12" ht="12.75">
      <c r="A92" s="5">
        <v>4</v>
      </c>
      <c r="B92" s="83"/>
      <c r="C92" s="29">
        <f aca="true" t="shared" si="30" ref="C92:C98">$C$82*C50</f>
        <v>65.61000000000001</v>
      </c>
      <c r="D92" s="158">
        <f t="shared" si="29"/>
        <v>65.61000000000001</v>
      </c>
      <c r="E92" s="29">
        <f t="shared" si="25"/>
        <v>22.5</v>
      </c>
      <c r="F92" s="87"/>
      <c r="G92" s="15">
        <v>0.07</v>
      </c>
      <c r="H92" s="56">
        <f t="shared" si="26"/>
        <v>289.95397032012</v>
      </c>
      <c r="I92" s="29">
        <f t="shared" si="27"/>
        <v>193.9266268427678</v>
      </c>
      <c r="K92" s="91">
        <f t="shared" si="24"/>
        <v>77.61560075213379</v>
      </c>
      <c r="L92" s="117">
        <f t="shared" si="28"/>
        <v>-77.61560075213379</v>
      </c>
    </row>
    <row r="93" spans="1:12" ht="12.75">
      <c r="A93" s="5">
        <v>5</v>
      </c>
      <c r="B93" s="83"/>
      <c r="C93" s="29">
        <f t="shared" si="30"/>
        <v>59.049000000000014</v>
      </c>
      <c r="D93" s="158">
        <f t="shared" si="29"/>
        <v>59.049000000000014</v>
      </c>
      <c r="E93" s="29">
        <f t="shared" si="25"/>
        <v>27</v>
      </c>
      <c r="F93" s="87"/>
      <c r="G93" s="15">
        <v>0.07</v>
      </c>
      <c r="H93" s="56">
        <f t="shared" si="26"/>
        <v>240.0480482425284</v>
      </c>
      <c r="I93" s="29">
        <f t="shared" si="27"/>
        <v>184.22730974798722</v>
      </c>
      <c r="K93" s="91">
        <f t="shared" si="24"/>
        <v>83.18066963361103</v>
      </c>
      <c r="L93" s="117">
        <f t="shared" si="28"/>
        <v>-83.18066963361103</v>
      </c>
    </row>
    <row r="94" spans="1:12" ht="12.75">
      <c r="A94" s="5">
        <v>6</v>
      </c>
      <c r="B94" s="83"/>
      <c r="C94" s="29">
        <f t="shared" si="30"/>
        <v>53.144100000000016</v>
      </c>
      <c r="D94" s="158">
        <f t="shared" si="29"/>
        <v>53.144100000000016</v>
      </c>
      <c r="E94" s="29">
        <f t="shared" si="25"/>
        <v>31.5</v>
      </c>
      <c r="F94" s="87"/>
      <c r="G94" s="15">
        <v>0.07</v>
      </c>
      <c r="H94" s="56">
        <f t="shared" si="26"/>
        <v>193.66898161950542</v>
      </c>
      <c r="I94" s="29">
        <f t="shared" si="27"/>
        <v>169.1942042618171</v>
      </c>
      <c r="K94" s="91">
        <f t="shared" si="24"/>
        <v>81.67435774230111</v>
      </c>
      <c r="L94" s="117">
        <f t="shared" si="28"/>
        <v>-81.67435774230111</v>
      </c>
    </row>
    <row r="95" spans="1:12" ht="12.75">
      <c r="A95" s="5">
        <v>7</v>
      </c>
      <c r="B95" s="83"/>
      <c r="C95" s="29">
        <f t="shared" si="30"/>
        <v>47.829690000000014</v>
      </c>
      <c r="D95" s="158">
        <f t="shared" si="29"/>
        <v>47.829690000000014</v>
      </c>
      <c r="E95" s="29">
        <f t="shared" si="25"/>
        <v>36</v>
      </c>
      <c r="F95" s="87"/>
      <c r="G95" s="15">
        <v>0.07</v>
      </c>
      <c r="H95" s="56">
        <f t="shared" si="26"/>
        <v>150.3616233328708</v>
      </c>
      <c r="I95" s="29">
        <f t="shared" si="27"/>
        <v>148.45394519686022</v>
      </c>
      <c r="K95" s="91">
        <f t="shared" si="24"/>
        <v>72.88227836408251</v>
      </c>
      <c r="L95" s="117">
        <f t="shared" si="28"/>
        <v>-72.88227836408251</v>
      </c>
    </row>
    <row r="96" spans="1:12" ht="12.75">
      <c r="A96" s="5">
        <v>8</v>
      </c>
      <c r="B96" s="83"/>
      <c r="C96" s="29">
        <f t="shared" si="30"/>
        <v>43.04672100000001</v>
      </c>
      <c r="D96" s="158">
        <f t="shared" si="29"/>
        <v>43.04672100000001</v>
      </c>
      <c r="E96" s="29">
        <f t="shared" si="25"/>
        <v>40.5</v>
      </c>
      <c r="F96" s="87"/>
      <c r="G96" s="15">
        <v>0.07</v>
      </c>
      <c r="H96" s="56">
        <f t="shared" si="26"/>
        <v>109.70916866617173</v>
      </c>
      <c r="I96" s="29">
        <f t="shared" si="27"/>
        <v>121.60703180260148</v>
      </c>
      <c r="K96" s="91">
        <f t="shared" si="24"/>
        <v>56.546976720847795</v>
      </c>
      <c r="L96" s="117">
        <f t="shared" si="28"/>
        <v>-56.546976720847795</v>
      </c>
    </row>
    <row r="97" spans="1:12" ht="12.75">
      <c r="A97" s="5">
        <v>9</v>
      </c>
      <c r="B97" s="83"/>
      <c r="C97" s="29">
        <f t="shared" si="30"/>
        <v>38.742048900000015</v>
      </c>
      <c r="D97" s="158">
        <f t="shared" si="29"/>
        <v>38.742048900000015</v>
      </c>
      <c r="E97" s="29">
        <f t="shared" si="25"/>
        <v>45</v>
      </c>
      <c r="F97" s="87"/>
      <c r="G97" s="15">
        <v>0.07</v>
      </c>
      <c r="H97" s="56">
        <f t="shared" si="26"/>
        <v>71.32881900280375</v>
      </c>
      <c r="I97" s="29">
        <f t="shared" si="27"/>
        <v>88.22599827598975</v>
      </c>
      <c r="K97" s="91">
        <f t="shared" si="24"/>
        <v>32.36772130542445</v>
      </c>
      <c r="L97" s="117">
        <f t="shared" si="28"/>
        <v>-32.36772130542445</v>
      </c>
    </row>
    <row r="98" spans="1:12" ht="12.75">
      <c r="A98" s="5">
        <v>10</v>
      </c>
      <c r="B98" s="83"/>
      <c r="C98" s="29">
        <f t="shared" si="30"/>
        <v>34.86784401000001</v>
      </c>
      <c r="D98" s="158">
        <f t="shared" si="29"/>
        <v>34.86784401000001</v>
      </c>
      <c r="E98" s="29">
        <f t="shared" si="25"/>
        <v>49.5</v>
      </c>
      <c r="F98" s="87"/>
      <c r="G98" s="15">
        <v>0.07</v>
      </c>
      <c r="H98" s="56">
        <f>D98+G99/(1+G98)</f>
        <v>34.86784401000001</v>
      </c>
      <c r="I98" s="29">
        <f>(E98/(1+G98)^(0.5))+(H99)/(1+G98)</f>
        <v>47.853456207760345</v>
      </c>
      <c r="K98" s="91">
        <f>H99-$J$90*G99</f>
        <v>0</v>
      </c>
      <c r="L98" s="117">
        <f t="shared" si="28"/>
        <v>0</v>
      </c>
    </row>
    <row r="101" ht="12.75">
      <c r="B101" s="62" t="s">
        <v>126</v>
      </c>
    </row>
    <row r="104" spans="1:12" ht="12.75">
      <c r="A104" s="58"/>
      <c r="B104" s="59" t="s">
        <v>102</v>
      </c>
      <c r="C104" s="59">
        <v>0.9</v>
      </c>
      <c r="D104" s="67" t="s">
        <v>127</v>
      </c>
      <c r="E104" s="67" t="s">
        <v>127</v>
      </c>
      <c r="F104" s="58"/>
      <c r="G104" s="58"/>
      <c r="H104" s="84"/>
      <c r="I104" s="58"/>
      <c r="J104" s="59"/>
      <c r="K104" s="46" t="s">
        <v>127</v>
      </c>
      <c r="L104" s="67" t="s">
        <v>93</v>
      </c>
    </row>
    <row r="105" spans="1:12" ht="12.75">
      <c r="A105" s="70"/>
      <c r="B105" s="85"/>
      <c r="C105" s="89" t="s">
        <v>32</v>
      </c>
      <c r="D105" s="67" t="s">
        <v>128</v>
      </c>
      <c r="E105" s="67" t="s">
        <v>128</v>
      </c>
      <c r="F105" s="71"/>
      <c r="G105" s="71"/>
      <c r="H105" s="71"/>
      <c r="I105" s="71"/>
      <c r="J105" s="67" t="s">
        <v>32</v>
      </c>
      <c r="K105" s="46" t="s">
        <v>114</v>
      </c>
      <c r="L105" s="46" t="s">
        <v>114</v>
      </c>
    </row>
    <row r="106" spans="1:12" ht="12.75">
      <c r="A106" s="46" t="s">
        <v>0</v>
      </c>
      <c r="B106" s="46"/>
      <c r="C106" s="46" t="s">
        <v>1</v>
      </c>
      <c r="D106" s="67" t="s">
        <v>44</v>
      </c>
      <c r="E106" s="67" t="s">
        <v>44</v>
      </c>
      <c r="F106" s="46" t="s">
        <v>13</v>
      </c>
      <c r="G106" s="59"/>
      <c r="H106" s="46" t="s">
        <v>59</v>
      </c>
      <c r="I106" s="46" t="s">
        <v>37</v>
      </c>
      <c r="J106" s="67" t="s">
        <v>10</v>
      </c>
      <c r="K106" s="46" t="s">
        <v>110</v>
      </c>
      <c r="L106" s="46" t="s">
        <v>110</v>
      </c>
    </row>
    <row r="107" spans="1:12" ht="13.5">
      <c r="A107" s="46" t="s">
        <v>29</v>
      </c>
      <c r="B107" s="46"/>
      <c r="C107" s="46" t="s">
        <v>8</v>
      </c>
      <c r="D107" s="67" t="s">
        <v>139</v>
      </c>
      <c r="E107" s="67" t="s">
        <v>145</v>
      </c>
      <c r="F107" s="46" t="s">
        <v>3</v>
      </c>
      <c r="G107" s="46" t="s">
        <v>33</v>
      </c>
      <c r="H107" s="46" t="s">
        <v>60</v>
      </c>
      <c r="I107" s="67" t="s">
        <v>55</v>
      </c>
      <c r="J107" s="67" t="s">
        <v>5</v>
      </c>
      <c r="K107" s="46" t="s">
        <v>111</v>
      </c>
      <c r="L107" s="46" t="s">
        <v>111</v>
      </c>
    </row>
    <row r="108" spans="1:11" ht="12.75">
      <c r="A108" s="70"/>
      <c r="B108" s="70"/>
      <c r="C108" s="73"/>
      <c r="D108" s="73"/>
      <c r="E108" s="73"/>
      <c r="F108" s="60"/>
      <c r="H108" s="73"/>
      <c r="I108" s="48"/>
      <c r="K108" s="2"/>
    </row>
    <row r="109" spans="1:11" ht="12.75">
      <c r="A109" s="70">
        <v>0</v>
      </c>
      <c r="B109" s="86"/>
      <c r="C109" s="5"/>
      <c r="D109" s="5"/>
      <c r="E109" s="5"/>
      <c r="F109" s="15"/>
      <c r="G109" s="2"/>
      <c r="H109" s="5"/>
      <c r="I109" s="36"/>
      <c r="J109" s="91"/>
      <c r="K109" s="117"/>
    </row>
    <row r="110" spans="1:12" ht="12.75">
      <c r="A110" s="5">
        <v>1</v>
      </c>
      <c r="B110" s="83"/>
      <c r="C110" s="29"/>
      <c r="D110" s="29"/>
      <c r="E110" s="87"/>
      <c r="F110" s="15"/>
      <c r="G110" s="56"/>
      <c r="H110" s="29"/>
      <c r="I110" s="90"/>
      <c r="J110" s="91">
        <f>H111-$I$111*G111</f>
        <v>0</v>
      </c>
      <c r="K110" s="117">
        <f>-J110</f>
        <v>0</v>
      </c>
      <c r="L110" s="107">
        <f aca="true" t="shared" si="31" ref="L110:L119">L89+K110</f>
        <v>0</v>
      </c>
    </row>
    <row r="111" spans="1:12" ht="12.75">
      <c r="A111" s="5">
        <v>2</v>
      </c>
      <c r="B111" s="83"/>
      <c r="C111" s="158">
        <f aca="true" t="shared" si="32" ref="C111:C119">D90</f>
        <v>126</v>
      </c>
      <c r="D111" s="29">
        <f>I67</f>
        <v>45</v>
      </c>
      <c r="E111" s="87">
        <f>J67</f>
        <v>-3.0374999999999943</v>
      </c>
      <c r="F111" s="15">
        <v>0.07</v>
      </c>
      <c r="G111" s="56">
        <f aca="true" t="shared" si="33" ref="G111:G119">C111+G112/(1+F111)</f>
        <v>447.3878682156694</v>
      </c>
      <c r="H111" s="29">
        <f>D111+(E111+H112)/(1+F111)</f>
        <v>0.6092470547663922</v>
      </c>
      <c r="I111" s="90">
        <f>H111/G111</f>
        <v>0.0013617871606493726</v>
      </c>
      <c r="J111" s="91">
        <f>H112-$I$111*G112</f>
        <v>-44.92890385500126</v>
      </c>
      <c r="K111" s="117">
        <f aca="true" t="shared" si="34" ref="K111:K119">-J111</f>
        <v>44.92890385500126</v>
      </c>
      <c r="L111" s="107">
        <f t="shared" si="31"/>
        <v>-0.9837276252059226</v>
      </c>
    </row>
    <row r="112" spans="1:12" ht="12.75">
      <c r="A112" s="5">
        <v>3</v>
      </c>
      <c r="B112" s="83"/>
      <c r="C112" s="29">
        <f t="shared" si="32"/>
        <v>72.9</v>
      </c>
      <c r="D112" s="29"/>
      <c r="E112" s="87">
        <f aca="true" t="shared" si="35" ref="E112:E119">J68</f>
        <v>-3.0374999999999943</v>
      </c>
      <c r="F112" s="15">
        <v>0.07</v>
      </c>
      <c r="G112" s="56">
        <f t="shared" si="33"/>
        <v>343.8850189907663</v>
      </c>
      <c r="H112" s="29">
        <f aca="true" t="shared" si="36" ref="H112:H119">(E112+H113)/(1+F112)</f>
        <v>-44.460605651399966</v>
      </c>
      <c r="J112" s="91">
        <f aca="true" t="shared" si="37" ref="J112:J119">H113-$I$111*G113</f>
        <v>-44.93020364095922</v>
      </c>
      <c r="K112" s="117">
        <f t="shared" si="34"/>
        <v>44.93020364095922</v>
      </c>
      <c r="L112" s="107">
        <f t="shared" si="31"/>
        <v>-20.220169729715977</v>
      </c>
    </row>
    <row r="113" spans="1:12" ht="12.75">
      <c r="A113" s="5">
        <v>4</v>
      </c>
      <c r="B113" s="83"/>
      <c r="C113" s="29">
        <f t="shared" si="32"/>
        <v>65.61000000000001</v>
      </c>
      <c r="D113" s="29"/>
      <c r="E113" s="87">
        <f t="shared" si="35"/>
        <v>-7.537499999999994</v>
      </c>
      <c r="F113" s="15">
        <v>0.07</v>
      </c>
      <c r="G113" s="56">
        <f t="shared" si="33"/>
        <v>289.95397032012</v>
      </c>
      <c r="H113" s="29">
        <f t="shared" si="36"/>
        <v>-44.535348046997974</v>
      </c>
      <c r="J113" s="91">
        <f t="shared" si="37"/>
        <v>-40.442216760323454</v>
      </c>
      <c r="K113" s="117">
        <f t="shared" si="34"/>
        <v>40.442216760323454</v>
      </c>
      <c r="L113" s="107">
        <f t="shared" si="31"/>
        <v>-37.17338399181033</v>
      </c>
    </row>
    <row r="114" spans="1:12" ht="12.75">
      <c r="A114" s="5">
        <v>5</v>
      </c>
      <c r="B114" s="83"/>
      <c r="C114" s="29">
        <f t="shared" si="32"/>
        <v>59.049000000000014</v>
      </c>
      <c r="D114" s="29"/>
      <c r="E114" s="87">
        <f t="shared" si="35"/>
        <v>-6.783749999999991</v>
      </c>
      <c r="F114" s="15">
        <v>0.07</v>
      </c>
      <c r="G114" s="56">
        <f t="shared" si="33"/>
        <v>240.0480482425284</v>
      </c>
      <c r="H114" s="29">
        <f t="shared" si="36"/>
        <v>-40.11532241028784</v>
      </c>
      <c r="J114" s="91">
        <f t="shared" si="37"/>
        <v>-36.40338091159348</v>
      </c>
      <c r="K114" s="117">
        <f t="shared" si="34"/>
        <v>36.40338091159348</v>
      </c>
      <c r="L114" s="107">
        <f t="shared" si="31"/>
        <v>-46.77728872201755</v>
      </c>
    </row>
    <row r="115" spans="1:12" ht="12.75">
      <c r="A115" s="5">
        <v>6</v>
      </c>
      <c r="B115" s="83"/>
      <c r="C115" s="29">
        <f t="shared" si="32"/>
        <v>53.144100000000016</v>
      </c>
      <c r="D115" s="29"/>
      <c r="E115" s="87">
        <f t="shared" si="35"/>
        <v>-6.105374999999995</v>
      </c>
      <c r="F115" s="15">
        <v>0.07</v>
      </c>
      <c r="G115" s="56">
        <f t="shared" si="33"/>
        <v>193.66898161950542</v>
      </c>
      <c r="H115" s="29">
        <f t="shared" si="36"/>
        <v>-36.139644979008</v>
      </c>
      <c r="J115" s="91">
        <f t="shared" si="37"/>
        <v>-32.76880565564766</v>
      </c>
      <c r="K115" s="117">
        <f t="shared" si="34"/>
        <v>32.76880565564766</v>
      </c>
      <c r="L115" s="107">
        <f t="shared" si="31"/>
        <v>-48.90555208665345</v>
      </c>
    </row>
    <row r="116" spans="1:12" ht="12.75">
      <c r="A116" s="5">
        <v>7</v>
      </c>
      <c r="B116" s="83"/>
      <c r="C116" s="29">
        <f t="shared" si="32"/>
        <v>47.829690000000014</v>
      </c>
      <c r="D116" s="29"/>
      <c r="E116" s="87">
        <f t="shared" si="35"/>
        <v>-5.494837499999999</v>
      </c>
      <c r="F116" s="15">
        <v>0.07</v>
      </c>
      <c r="G116" s="56">
        <f t="shared" si="33"/>
        <v>150.3616233328708</v>
      </c>
      <c r="H116" s="29">
        <f t="shared" si="36"/>
        <v>-32.56404512753856</v>
      </c>
      <c r="J116" s="91">
        <f t="shared" si="37"/>
        <v>-29.498091323761372</v>
      </c>
      <c r="K116" s="117">
        <f t="shared" si="34"/>
        <v>29.498091323761372</v>
      </c>
      <c r="L116" s="107">
        <f t="shared" si="31"/>
        <v>-43.38418704032114</v>
      </c>
    </row>
    <row r="117" spans="1:12" ht="12.75">
      <c r="A117" s="5">
        <v>8</v>
      </c>
      <c r="B117" s="83"/>
      <c r="C117" s="29">
        <f t="shared" si="32"/>
        <v>43.04672100000001</v>
      </c>
      <c r="D117" s="29"/>
      <c r="E117" s="87">
        <f t="shared" si="35"/>
        <v>-4.945353749999995</v>
      </c>
      <c r="F117" s="15">
        <v>0.07</v>
      </c>
      <c r="G117" s="56">
        <f t="shared" si="33"/>
        <v>109.70916866617173</v>
      </c>
      <c r="H117" s="29">
        <f t="shared" si="36"/>
        <v>-29.348690786466264</v>
      </c>
      <c r="J117" s="91">
        <f t="shared" si="37"/>
        <v>-26.55488006142121</v>
      </c>
      <c r="K117" s="117">
        <f t="shared" si="34"/>
        <v>26.55488006142121</v>
      </c>
      <c r="L117" s="107">
        <f t="shared" si="31"/>
        <v>-29.992096659426586</v>
      </c>
    </row>
    <row r="118" spans="1:12" ht="12.75">
      <c r="A118" s="5">
        <v>9</v>
      </c>
      <c r="B118" s="83"/>
      <c r="C118" s="29">
        <f t="shared" si="32"/>
        <v>38.742048900000015</v>
      </c>
      <c r="D118" s="29"/>
      <c r="E118" s="87">
        <f t="shared" si="35"/>
        <v>-4.450818374999997</v>
      </c>
      <c r="F118" s="15">
        <v>0.07</v>
      </c>
      <c r="G118" s="56">
        <f t="shared" si="33"/>
        <v>71.32881900280375</v>
      </c>
      <c r="H118" s="29">
        <f t="shared" si="36"/>
        <v>-26.45774539151891</v>
      </c>
      <c r="J118" s="91">
        <f t="shared" si="37"/>
        <v>-23.90645177621758</v>
      </c>
      <c r="K118" s="117">
        <f t="shared" si="34"/>
        <v>23.90645177621758</v>
      </c>
      <c r="L118" s="107">
        <f t="shared" si="31"/>
        <v>-8.461269529206874</v>
      </c>
    </row>
    <row r="119" spans="1:12" ht="12.75">
      <c r="A119" s="5">
        <v>10</v>
      </c>
      <c r="B119" s="83"/>
      <c r="C119" s="29">
        <f t="shared" si="32"/>
        <v>34.86784401000001</v>
      </c>
      <c r="D119" s="29"/>
      <c r="E119" s="87">
        <f t="shared" si="35"/>
        <v>-25.529097037500005</v>
      </c>
      <c r="F119" s="15">
        <v>0.07</v>
      </c>
      <c r="G119" s="56">
        <f t="shared" si="33"/>
        <v>34.86784401000001</v>
      </c>
      <c r="H119" s="29">
        <f t="shared" si="36"/>
        <v>-23.858969193925237</v>
      </c>
      <c r="J119" s="91">
        <f t="shared" si="37"/>
        <v>0</v>
      </c>
      <c r="K119" s="117">
        <f t="shared" si="34"/>
        <v>0</v>
      </c>
      <c r="L119" s="107">
        <f t="shared" si="31"/>
        <v>0</v>
      </c>
    </row>
    <row r="120" ht="12.75">
      <c r="E120" s="181"/>
    </row>
    <row r="122" ht="12.75">
      <c r="B122" s="62" t="s">
        <v>51</v>
      </c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2" ht="12.75">
      <c r="A124" s="2"/>
      <c r="B124" s="59" t="s">
        <v>102</v>
      </c>
      <c r="C124" s="59">
        <v>0.9</v>
      </c>
      <c r="E124" s="46" t="s">
        <v>20</v>
      </c>
      <c r="F124" s="59"/>
      <c r="G124" s="59"/>
      <c r="H124" s="59"/>
      <c r="I124" s="59"/>
      <c r="J124" s="59"/>
      <c r="K124" s="59"/>
      <c r="L124" s="59"/>
    </row>
    <row r="125" spans="1:12" ht="12.75">
      <c r="A125" s="2"/>
      <c r="B125" s="59"/>
      <c r="C125" s="59"/>
      <c r="E125" s="46"/>
      <c r="F125" s="59"/>
      <c r="G125" s="59"/>
      <c r="H125" s="59"/>
      <c r="I125" s="59"/>
      <c r="J125" s="59"/>
      <c r="K125" s="59"/>
      <c r="L125" s="59"/>
    </row>
    <row r="126" spans="1:11" ht="12.75">
      <c r="A126" s="2"/>
      <c r="B126" s="89" t="s">
        <v>139</v>
      </c>
      <c r="C126" s="67" t="s">
        <v>32</v>
      </c>
      <c r="D126" s="67" t="s">
        <v>93</v>
      </c>
      <c r="E126" s="46" t="s">
        <v>1</v>
      </c>
      <c r="F126" s="46" t="s">
        <v>32</v>
      </c>
      <c r="G126" s="46" t="s">
        <v>13</v>
      </c>
      <c r="H126" s="59"/>
      <c r="I126" s="46"/>
      <c r="J126" s="59"/>
      <c r="K126" s="59"/>
    </row>
    <row r="127" spans="1:14" ht="12.75">
      <c r="A127" s="46" t="s">
        <v>0</v>
      </c>
      <c r="B127" s="46" t="s">
        <v>150</v>
      </c>
      <c r="C127" s="67" t="s">
        <v>1</v>
      </c>
      <c r="D127" s="89" t="s">
        <v>32</v>
      </c>
      <c r="E127" s="46" t="s">
        <v>4</v>
      </c>
      <c r="F127" s="46" t="s">
        <v>4</v>
      </c>
      <c r="G127" s="46" t="s">
        <v>3</v>
      </c>
      <c r="H127" s="46"/>
      <c r="I127" s="61" t="s">
        <v>38</v>
      </c>
      <c r="J127" s="46" t="s">
        <v>37</v>
      </c>
      <c r="K127" s="62" t="s">
        <v>50</v>
      </c>
      <c r="L127" s="67" t="s">
        <v>64</v>
      </c>
      <c r="M127" s="46"/>
      <c r="N127" s="67"/>
    </row>
    <row r="128" spans="1:14" ht="12.75">
      <c r="A128" s="46" t="s">
        <v>53</v>
      </c>
      <c r="B128" s="46" t="s">
        <v>151</v>
      </c>
      <c r="C128" s="67" t="s">
        <v>8</v>
      </c>
      <c r="D128" s="46" t="s">
        <v>1</v>
      </c>
      <c r="E128" s="46" t="s">
        <v>30</v>
      </c>
      <c r="F128" s="46" t="s">
        <v>30</v>
      </c>
      <c r="G128" s="60"/>
      <c r="H128" s="46" t="s">
        <v>33</v>
      </c>
      <c r="I128" s="61" t="s">
        <v>39</v>
      </c>
      <c r="J128" s="67" t="s">
        <v>55</v>
      </c>
      <c r="K128" s="25" t="s">
        <v>41</v>
      </c>
      <c r="L128" s="62" t="s">
        <v>65</v>
      </c>
      <c r="M128" s="26"/>
      <c r="N128" s="67"/>
    </row>
    <row r="129" spans="1:14" ht="12.75">
      <c r="A129" s="46"/>
      <c r="B129" s="46"/>
      <c r="D129" s="46"/>
      <c r="E129" s="46"/>
      <c r="F129" s="46"/>
      <c r="G129" s="60"/>
      <c r="H129" s="46"/>
      <c r="I129" s="61"/>
      <c r="J129" s="67"/>
      <c r="K129" s="25"/>
      <c r="L129" s="62"/>
      <c r="M129" s="26"/>
      <c r="N129" s="67"/>
    </row>
    <row r="130" spans="1:13" ht="12.75">
      <c r="A130" s="2">
        <v>0</v>
      </c>
      <c r="B130" s="55"/>
      <c r="D130" s="2"/>
      <c r="E130" s="11"/>
      <c r="F130" s="2"/>
      <c r="G130" s="15"/>
      <c r="H130" s="2"/>
      <c r="I130" s="1"/>
      <c r="J130" s="48"/>
      <c r="K130" s="51"/>
      <c r="L130" s="112"/>
      <c r="M130" s="8"/>
    </row>
    <row r="131" spans="1:14" ht="12.75">
      <c r="A131" s="2">
        <v>1</v>
      </c>
      <c r="B131" s="55"/>
      <c r="D131" s="31"/>
      <c r="E131" s="57"/>
      <c r="F131" s="65">
        <f>E131*D131</f>
        <v>0</v>
      </c>
      <c r="G131" s="15"/>
      <c r="H131" s="56"/>
      <c r="I131" s="8"/>
      <c r="J131" s="14"/>
      <c r="K131" s="51">
        <f>I132-$J$132*H132</f>
        <v>0</v>
      </c>
      <c r="L131" s="112">
        <f aca="true" t="shared" si="38" ref="L131:L140">-K131</f>
        <v>0</v>
      </c>
      <c r="M131" s="52"/>
      <c r="N131" s="68"/>
    </row>
    <row r="132" spans="1:14" ht="12.75">
      <c r="A132" s="2">
        <v>2</v>
      </c>
      <c r="B132" s="184">
        <v>54</v>
      </c>
      <c r="C132" s="114">
        <f>C90</f>
        <v>81</v>
      </c>
      <c r="D132" s="157">
        <f>D90</f>
        <v>126</v>
      </c>
      <c r="E132" s="57">
        <v>0.27</v>
      </c>
      <c r="F132" s="157">
        <f>C132*E132+B132</f>
        <v>75.87</v>
      </c>
      <c r="G132" s="15">
        <v>0.07</v>
      </c>
      <c r="H132" s="56">
        <f aca="true" t="shared" si="39" ref="H132:H139">D132+H133/(1+G132)</f>
        <v>447.3878682156694</v>
      </c>
      <c r="I132" s="8">
        <f aca="true" t="shared" si="40" ref="I132:I139">F132+I133/(1+G132)</f>
        <v>162.64472441823077</v>
      </c>
      <c r="J132" s="14">
        <f>I132/H132</f>
        <v>0.3635429924975651</v>
      </c>
      <c r="K132" s="51">
        <f>I133-$J$132*H133</f>
        <v>-32.16803375147826</v>
      </c>
      <c r="L132" s="112">
        <f t="shared" si="38"/>
        <v>32.16803375147826</v>
      </c>
      <c r="M132" s="52"/>
      <c r="N132" s="68"/>
    </row>
    <row r="133" spans="1:14" ht="12.75">
      <c r="A133" s="2">
        <v>3</v>
      </c>
      <c r="B133" s="55"/>
      <c r="C133" s="114">
        <f aca="true" t="shared" si="41" ref="C133:C140">C91</f>
        <v>72.9</v>
      </c>
      <c r="D133" s="31">
        <f aca="true" t="shared" si="42" ref="D133:D140">D91</f>
        <v>72.9</v>
      </c>
      <c r="E133" s="57">
        <v>0.27</v>
      </c>
      <c r="F133" s="31">
        <f>C133*E133</f>
        <v>19.683000000000003</v>
      </c>
      <c r="G133" s="15">
        <v>0.07</v>
      </c>
      <c r="H133" s="56">
        <f t="shared" si="39"/>
        <v>343.8850189907663</v>
      </c>
      <c r="I133" s="8">
        <f t="shared" si="40"/>
        <v>92.84895512750693</v>
      </c>
      <c r="J133" s="8"/>
      <c r="K133" s="51">
        <f aca="true" t="shared" si="43" ref="K133:K140">I134-$J$132*H134</f>
        <v>-27.123162070294185</v>
      </c>
      <c r="L133" s="112">
        <f t="shared" si="38"/>
        <v>27.123162070294185</v>
      </c>
      <c r="M133" s="52"/>
      <c r="N133" s="68"/>
    </row>
    <row r="134" spans="1:14" ht="12.75">
      <c r="A134" s="2">
        <v>4</v>
      </c>
      <c r="B134" s="55"/>
      <c r="C134" s="114">
        <f t="shared" si="41"/>
        <v>65.61000000000001</v>
      </c>
      <c r="D134" s="31">
        <f t="shared" si="42"/>
        <v>65.61000000000001</v>
      </c>
      <c r="E134" s="57">
        <v>0.27</v>
      </c>
      <c r="F134" s="31">
        <f aca="true" t="shared" si="44" ref="F134:F140">C134*E134</f>
        <v>17.714700000000004</v>
      </c>
      <c r="G134" s="15">
        <v>0.07</v>
      </c>
      <c r="H134" s="56">
        <f t="shared" si="39"/>
        <v>289.95397032012</v>
      </c>
      <c r="I134" s="8">
        <f t="shared" si="40"/>
        <v>78.28757198643241</v>
      </c>
      <c r="J134" s="8"/>
      <c r="K134" s="51">
        <f t="shared" si="43"/>
        <v>-22.454812775805976</v>
      </c>
      <c r="L134" s="112">
        <f t="shared" si="38"/>
        <v>22.454812775805976</v>
      </c>
      <c r="M134" s="52"/>
      <c r="N134" s="68"/>
    </row>
    <row r="135" spans="1:14" ht="12.75">
      <c r="A135" s="2">
        <v>5</v>
      </c>
      <c r="B135" s="55"/>
      <c r="C135" s="114">
        <f t="shared" si="41"/>
        <v>59.049000000000014</v>
      </c>
      <c r="D135" s="31">
        <f t="shared" si="42"/>
        <v>59.049000000000014</v>
      </c>
      <c r="E135" s="57">
        <v>0.27</v>
      </c>
      <c r="F135" s="31">
        <f t="shared" si="44"/>
        <v>15.943230000000005</v>
      </c>
      <c r="G135" s="15">
        <v>0.07</v>
      </c>
      <c r="H135" s="56">
        <f t="shared" si="39"/>
        <v>240.0480482425284</v>
      </c>
      <c r="I135" s="8">
        <f t="shared" si="40"/>
        <v>64.81297302548268</v>
      </c>
      <c r="J135" s="8"/>
      <c r="K135" s="51">
        <f t="shared" si="43"/>
        <v>-18.116376094644465</v>
      </c>
      <c r="L135" s="112">
        <f t="shared" si="38"/>
        <v>18.116376094644465</v>
      </c>
      <c r="M135" s="52"/>
      <c r="N135" s="68"/>
    </row>
    <row r="136" spans="1:14" ht="12.75">
      <c r="A136" s="2">
        <v>6</v>
      </c>
      <c r="B136" s="55"/>
      <c r="C136" s="114">
        <f t="shared" si="41"/>
        <v>53.144100000000016</v>
      </c>
      <c r="D136" s="31">
        <f t="shared" si="42"/>
        <v>53.144100000000016</v>
      </c>
      <c r="E136" s="57">
        <v>0.27</v>
      </c>
      <c r="F136" s="31">
        <f t="shared" si="44"/>
        <v>14.348907000000006</v>
      </c>
      <c r="G136" s="15">
        <v>0.07</v>
      </c>
      <c r="H136" s="56">
        <f t="shared" si="39"/>
        <v>193.66898161950542</v>
      </c>
      <c r="I136" s="8">
        <f t="shared" si="40"/>
        <v>52.290625037266466</v>
      </c>
      <c r="J136" s="8"/>
      <c r="K136" s="51">
        <f t="shared" si="43"/>
        <v>-14.065276203348446</v>
      </c>
      <c r="L136" s="112">
        <f t="shared" si="38"/>
        <v>14.065276203348446</v>
      </c>
      <c r="M136" s="52"/>
      <c r="N136" s="68"/>
    </row>
    <row r="137" spans="1:14" ht="12.75">
      <c r="A137" s="2">
        <v>7</v>
      </c>
      <c r="B137" s="55"/>
      <c r="C137" s="114">
        <f t="shared" si="41"/>
        <v>47.829690000000014</v>
      </c>
      <c r="D137" s="31">
        <f t="shared" si="42"/>
        <v>47.829690000000014</v>
      </c>
      <c r="E137" s="57">
        <v>0.27</v>
      </c>
      <c r="F137" s="31">
        <f t="shared" si="44"/>
        <v>12.914016300000004</v>
      </c>
      <c r="G137" s="15">
        <v>0.07</v>
      </c>
      <c r="H137" s="56">
        <f t="shared" si="39"/>
        <v>150.3616233328708</v>
      </c>
      <c r="I137" s="8">
        <f t="shared" si="40"/>
        <v>40.597638299875115</v>
      </c>
      <c r="J137" s="8"/>
      <c r="K137" s="51">
        <f t="shared" si="43"/>
        <v>-10.2625239414538</v>
      </c>
      <c r="L137" s="112">
        <f t="shared" si="38"/>
        <v>10.2625239414538</v>
      </c>
      <c r="M137" s="52"/>
      <c r="N137" s="68"/>
    </row>
    <row r="138" spans="1:14" ht="12.75">
      <c r="A138" s="2">
        <v>8</v>
      </c>
      <c r="B138" s="55"/>
      <c r="C138" s="114">
        <f t="shared" si="41"/>
        <v>43.04672100000001</v>
      </c>
      <c r="D138" s="31">
        <f t="shared" si="42"/>
        <v>43.04672100000001</v>
      </c>
      <c r="E138" s="57">
        <v>0.27</v>
      </c>
      <c r="F138" s="31">
        <f t="shared" si="44"/>
        <v>11.622614670000004</v>
      </c>
      <c r="G138" s="15">
        <v>0.07</v>
      </c>
      <c r="H138" s="56">
        <f t="shared" si="39"/>
        <v>109.70916866617173</v>
      </c>
      <c r="I138" s="8">
        <f t="shared" si="40"/>
        <v>29.621475539866374</v>
      </c>
      <c r="J138" s="8"/>
      <c r="K138" s="51">
        <f t="shared" si="43"/>
        <v>-6.672311180839451</v>
      </c>
      <c r="L138" s="112">
        <f t="shared" si="38"/>
        <v>6.672311180839451</v>
      </c>
      <c r="M138" s="52"/>
      <c r="N138" s="68"/>
    </row>
    <row r="139" spans="1:14" ht="12.75">
      <c r="A139" s="2">
        <v>9</v>
      </c>
      <c r="B139" s="55"/>
      <c r="C139" s="114">
        <f t="shared" si="41"/>
        <v>38.742048900000015</v>
      </c>
      <c r="D139" s="31">
        <f t="shared" si="42"/>
        <v>38.742048900000015</v>
      </c>
      <c r="E139" s="57">
        <v>0.27</v>
      </c>
      <c r="F139" s="31">
        <f t="shared" si="44"/>
        <v>10.460353203000004</v>
      </c>
      <c r="G139" s="15">
        <v>0.07</v>
      </c>
      <c r="H139" s="56">
        <f t="shared" si="39"/>
        <v>71.32881900280375</v>
      </c>
      <c r="I139" s="8">
        <f t="shared" si="40"/>
        <v>19.258781130757015</v>
      </c>
      <c r="J139" s="8"/>
      <c r="K139" s="51">
        <f t="shared" si="43"/>
        <v>-3.261642470633701</v>
      </c>
      <c r="L139" s="112">
        <f t="shared" si="38"/>
        <v>3.261642470633701</v>
      </c>
      <c r="M139" s="52"/>
      <c r="N139" s="68"/>
    </row>
    <row r="140" spans="1:14" ht="12.75">
      <c r="A140" s="2">
        <v>10</v>
      </c>
      <c r="B140" s="55"/>
      <c r="C140" s="114">
        <f t="shared" si="41"/>
        <v>34.86784401000001</v>
      </c>
      <c r="D140" s="31">
        <f t="shared" si="42"/>
        <v>34.86784401000001</v>
      </c>
      <c r="E140" s="57">
        <v>0.27</v>
      </c>
      <c r="F140" s="31">
        <f t="shared" si="44"/>
        <v>9.414317882700004</v>
      </c>
      <c r="G140" s="15">
        <v>0.07</v>
      </c>
      <c r="H140" s="56">
        <f>D140+G141/(1+G140)</f>
        <v>34.86784401000001</v>
      </c>
      <c r="I140" s="8">
        <f>F140+H141/(1+G140)</f>
        <v>9.414317882700004</v>
      </c>
      <c r="J140" s="8"/>
      <c r="K140" s="51">
        <f t="shared" si="43"/>
        <v>0</v>
      </c>
      <c r="L140" s="112">
        <f t="shared" si="38"/>
        <v>0</v>
      </c>
      <c r="M140" s="52"/>
      <c r="N140" s="68"/>
    </row>
    <row r="141" spans="2:11" ht="12.75">
      <c r="B141" s="2"/>
      <c r="C141" s="31"/>
      <c r="D141" s="2"/>
      <c r="E141" s="31"/>
      <c r="F141" s="31"/>
      <c r="G141" s="31"/>
      <c r="H141" s="1"/>
      <c r="I141" s="8"/>
      <c r="J141" s="1"/>
      <c r="K141" s="1"/>
    </row>
    <row r="142" spans="1:7" ht="12.75">
      <c r="A142" s="58"/>
      <c r="B142" s="58"/>
      <c r="C142" s="58"/>
      <c r="D142" s="58"/>
      <c r="E142" s="58"/>
      <c r="F142" s="58"/>
      <c r="G142" s="58"/>
    </row>
    <row r="144" spans="2:12" ht="12.75">
      <c r="B144" s="62" t="s">
        <v>62</v>
      </c>
      <c r="J144" s="62" t="s">
        <v>146</v>
      </c>
      <c r="L144" s="90">
        <f>1-J90-I111-J132</f>
        <v>0.19096868077442303</v>
      </c>
    </row>
    <row r="145" spans="1:14" ht="12.75">
      <c r="A145" s="58"/>
      <c r="B145" s="58"/>
      <c r="C145" s="58"/>
      <c r="D145" s="59"/>
      <c r="E145" s="59"/>
      <c r="F145" s="67" t="s">
        <v>127</v>
      </c>
      <c r="G145" s="67" t="s">
        <v>127</v>
      </c>
      <c r="H145" s="58"/>
      <c r="I145" s="89" t="s">
        <v>47</v>
      </c>
      <c r="J145" s="58"/>
      <c r="K145" s="58"/>
      <c r="N145" s="58"/>
    </row>
    <row r="146" spans="1:13" ht="12.75">
      <c r="A146" s="70"/>
      <c r="B146" s="85"/>
      <c r="C146" s="89" t="s">
        <v>42</v>
      </c>
      <c r="D146" s="89" t="s">
        <v>4</v>
      </c>
      <c r="E146" s="46" t="s">
        <v>12</v>
      </c>
      <c r="F146" s="67" t="s">
        <v>128</v>
      </c>
      <c r="G146" s="67" t="s">
        <v>128</v>
      </c>
      <c r="H146" s="89" t="s">
        <v>6</v>
      </c>
      <c r="I146" s="46" t="s">
        <v>130</v>
      </c>
      <c r="J146" s="111" t="s">
        <v>13</v>
      </c>
      <c r="K146" s="67" t="s">
        <v>67</v>
      </c>
      <c r="L146" s="67" t="s">
        <v>68</v>
      </c>
      <c r="M146" s="89"/>
    </row>
    <row r="147" spans="1:13" ht="12.75">
      <c r="A147" s="46" t="s">
        <v>0</v>
      </c>
      <c r="B147" s="46"/>
      <c r="C147" s="46" t="s">
        <v>1</v>
      </c>
      <c r="D147" s="46" t="s">
        <v>30</v>
      </c>
      <c r="E147" s="46" t="s">
        <v>4</v>
      </c>
      <c r="F147" s="67" t="s">
        <v>44</v>
      </c>
      <c r="G147" s="67" t="s">
        <v>44</v>
      </c>
      <c r="H147" s="46" t="s">
        <v>46</v>
      </c>
      <c r="I147" s="46" t="s">
        <v>10</v>
      </c>
      <c r="J147" s="111" t="s">
        <v>63</v>
      </c>
      <c r="K147" s="67" t="s">
        <v>66</v>
      </c>
      <c r="L147" s="67" t="s">
        <v>1</v>
      </c>
      <c r="M147" s="46"/>
    </row>
    <row r="148" spans="1:12" ht="13.5">
      <c r="A148" s="46" t="s">
        <v>29</v>
      </c>
      <c r="B148" s="46"/>
      <c r="C148" s="46" t="s">
        <v>43</v>
      </c>
      <c r="D148" s="46" t="s">
        <v>44</v>
      </c>
      <c r="E148" s="59" t="s">
        <v>45</v>
      </c>
      <c r="F148" s="67" t="s">
        <v>139</v>
      </c>
      <c r="G148" s="67" t="s">
        <v>145</v>
      </c>
      <c r="H148" s="46" t="s">
        <v>5</v>
      </c>
      <c r="I148" s="46" t="s">
        <v>5</v>
      </c>
      <c r="J148" s="111" t="s">
        <v>50</v>
      </c>
      <c r="K148" s="111" t="s">
        <v>50</v>
      </c>
      <c r="L148" s="118" t="s">
        <v>35</v>
      </c>
    </row>
    <row r="149" spans="1:10" ht="12.75">
      <c r="A149" s="70"/>
      <c r="B149" s="70"/>
      <c r="C149" s="73"/>
      <c r="D149" s="73"/>
      <c r="E149" s="73"/>
      <c r="G149" s="73"/>
      <c r="H149" s="73"/>
      <c r="I149" s="73"/>
      <c r="J149" s="58"/>
    </row>
    <row r="150" spans="1:10" ht="12.75">
      <c r="A150" s="70">
        <v>0</v>
      </c>
      <c r="B150" s="86"/>
      <c r="C150" s="5"/>
      <c r="D150" s="5"/>
      <c r="E150" s="5"/>
      <c r="G150" s="5"/>
      <c r="H150" s="5"/>
      <c r="I150" s="5"/>
      <c r="J150" s="58"/>
    </row>
    <row r="151" spans="1:13" ht="12.75">
      <c r="A151" s="5">
        <v>1</v>
      </c>
      <c r="B151" s="83"/>
      <c r="C151" s="29"/>
      <c r="D151" s="29"/>
      <c r="E151" s="29"/>
      <c r="G151" s="29"/>
      <c r="H151" s="29"/>
      <c r="I151" s="29"/>
      <c r="J151" s="113"/>
      <c r="K151" s="114"/>
      <c r="L151" s="116"/>
      <c r="M151" s="116"/>
    </row>
    <row r="152" spans="1:13" ht="12.75">
      <c r="A152" s="5">
        <v>2</v>
      </c>
      <c r="B152" s="83"/>
      <c r="C152" s="29">
        <f aca="true" t="shared" si="45" ref="C152:C160">D132</f>
        <v>126</v>
      </c>
      <c r="D152" s="29">
        <f aca="true" t="shared" si="46" ref="D152:D160">F132</f>
        <v>75.87</v>
      </c>
      <c r="E152" s="29">
        <f aca="true" t="shared" si="47" ref="E152:E160">E90</f>
        <v>13.5</v>
      </c>
      <c r="F152" s="68">
        <f>D111</f>
        <v>45</v>
      </c>
      <c r="G152" s="29">
        <f>E111</f>
        <v>-3.0374999999999943</v>
      </c>
      <c r="H152" s="29">
        <f aca="true" t="shared" si="48" ref="H152:H160">(L132-L131)</f>
        <v>32.16803375147826</v>
      </c>
      <c r="I152" s="29">
        <f>L111-L110</f>
        <v>-0.9837276252059226</v>
      </c>
      <c r="J152" s="113">
        <f>F9*(L110+L131-C152*(1-$L$144)+D152+F152)+((1+F9)^(0.5)-1)*E152</f>
        <v>1.7897523486950224</v>
      </c>
      <c r="K152" s="114">
        <f>-C152+D152+F152+E152+G152-H152-I152+J152</f>
        <v>-24.062053777577308</v>
      </c>
      <c r="L152" s="116">
        <f aca="true" t="shared" si="49" ref="L152:L160">K152/C152</f>
        <v>-0.19096868077442308</v>
      </c>
      <c r="M152" s="116"/>
    </row>
    <row r="153" spans="1:13" ht="12.75">
      <c r="A153" s="5">
        <v>3</v>
      </c>
      <c r="B153" s="83"/>
      <c r="C153" s="29">
        <f t="shared" si="45"/>
        <v>72.9</v>
      </c>
      <c r="D153" s="29">
        <f t="shared" si="46"/>
        <v>19.683000000000003</v>
      </c>
      <c r="E153" s="29">
        <f t="shared" si="47"/>
        <v>18</v>
      </c>
      <c r="G153" s="29">
        <f aca="true" t="shared" si="50" ref="G153:G160">E112</f>
        <v>-3.0374999999999943</v>
      </c>
      <c r="H153" s="29">
        <f t="shared" si="48"/>
        <v>-5.044871681184077</v>
      </c>
      <c r="I153" s="29">
        <f aca="true" t="shared" si="51" ref="I153:I160">L112-L111</f>
        <v>-19.236442104510054</v>
      </c>
      <c r="J153" s="113">
        <f aca="true" t="shared" si="52" ref="J153:J160">F10*(L111+L132-C153*(1-$L$144)+D153+F153)+((1+F10)^(0.5)-1)*E153</f>
        <v>0.05156938585042525</v>
      </c>
      <c r="K153" s="114">
        <f aca="true" t="shared" si="53" ref="K153:K160">-C153+D153+F153+E153+G153-H153-I153+J153</f>
        <v>-13.921616828455436</v>
      </c>
      <c r="L153" s="116">
        <f t="shared" si="49"/>
        <v>-0.19096868077442297</v>
      </c>
      <c r="M153" s="116"/>
    </row>
    <row r="154" spans="1:13" ht="12.75">
      <c r="A154" s="5">
        <v>4</v>
      </c>
      <c r="B154" s="83"/>
      <c r="C154" s="29">
        <f t="shared" si="45"/>
        <v>65.61000000000001</v>
      </c>
      <c r="D154" s="29">
        <f t="shared" si="46"/>
        <v>17.714700000000004</v>
      </c>
      <c r="E154" s="29">
        <f t="shared" si="47"/>
        <v>22.5</v>
      </c>
      <c r="G154" s="29">
        <f t="shared" si="50"/>
        <v>-7.537499999999994</v>
      </c>
      <c r="H154" s="29">
        <f t="shared" si="48"/>
        <v>-4.668349294488209</v>
      </c>
      <c r="I154" s="29">
        <f t="shared" si="51"/>
        <v>-16.953214262094356</v>
      </c>
      <c r="J154" s="113">
        <f t="shared" si="52"/>
        <v>-1.2182187021924822</v>
      </c>
      <c r="K154" s="114">
        <f t="shared" si="53"/>
        <v>-12.529455145609917</v>
      </c>
      <c r="L154" s="116">
        <f t="shared" si="49"/>
        <v>-0.19096868077442333</v>
      </c>
      <c r="M154" s="116"/>
    </row>
    <row r="155" spans="1:13" ht="12.75">
      <c r="A155" s="5">
        <v>5</v>
      </c>
      <c r="B155" s="83"/>
      <c r="C155" s="29">
        <f t="shared" si="45"/>
        <v>59.049000000000014</v>
      </c>
      <c r="D155" s="29">
        <f t="shared" si="46"/>
        <v>15.943230000000005</v>
      </c>
      <c r="E155" s="29">
        <f t="shared" si="47"/>
        <v>27</v>
      </c>
      <c r="G155" s="29">
        <f t="shared" si="50"/>
        <v>-6.783749999999991</v>
      </c>
      <c r="H155" s="29">
        <f t="shared" si="48"/>
        <v>-4.338436681161511</v>
      </c>
      <c r="I155" s="29">
        <f t="shared" si="51"/>
        <v>-9.60390473020722</v>
      </c>
      <c r="J155" s="113">
        <f t="shared" si="52"/>
        <v>-2.3293310424176608</v>
      </c>
      <c r="K155" s="114">
        <f t="shared" si="53"/>
        <v>-11.276509631048928</v>
      </c>
      <c r="L155" s="116">
        <f t="shared" si="49"/>
        <v>-0.19096868077442336</v>
      </c>
      <c r="M155" s="116"/>
    </row>
    <row r="156" spans="1:13" ht="12.75">
      <c r="A156" s="5">
        <v>6</v>
      </c>
      <c r="B156" s="83"/>
      <c r="C156" s="29">
        <f t="shared" si="45"/>
        <v>53.144100000000016</v>
      </c>
      <c r="D156" s="29">
        <f t="shared" si="46"/>
        <v>14.348907000000006</v>
      </c>
      <c r="E156" s="29">
        <f t="shared" si="47"/>
        <v>31.5</v>
      </c>
      <c r="G156" s="29">
        <f t="shared" si="50"/>
        <v>-6.105374999999995</v>
      </c>
      <c r="H156" s="29">
        <f t="shared" si="48"/>
        <v>-4.051099891296019</v>
      </c>
      <c r="I156" s="29">
        <f t="shared" si="51"/>
        <v>-2.128263364635899</v>
      </c>
      <c r="J156" s="113">
        <f t="shared" si="52"/>
        <v>-2.927653923875944</v>
      </c>
      <c r="K156" s="114">
        <f t="shared" si="53"/>
        <v>-10.148858667944033</v>
      </c>
      <c r="L156" s="116">
        <f t="shared" si="49"/>
        <v>-0.1909686807744233</v>
      </c>
      <c r="M156" s="116"/>
    </row>
    <row r="157" spans="1:13" ht="12.75">
      <c r="A157" s="5">
        <v>7</v>
      </c>
      <c r="B157" s="83"/>
      <c r="C157" s="29">
        <f t="shared" si="45"/>
        <v>47.829690000000014</v>
      </c>
      <c r="D157" s="29">
        <f t="shared" si="46"/>
        <v>12.914016300000004</v>
      </c>
      <c r="E157" s="29">
        <f t="shared" si="47"/>
        <v>36</v>
      </c>
      <c r="G157" s="29">
        <f t="shared" si="50"/>
        <v>-5.494837499999999</v>
      </c>
      <c r="H157" s="29">
        <f t="shared" si="48"/>
        <v>-3.8027522618946463</v>
      </c>
      <c r="I157" s="29">
        <f t="shared" si="51"/>
        <v>5.521365046332313</v>
      </c>
      <c r="J157" s="113">
        <f t="shared" si="52"/>
        <v>-3.0048488167119167</v>
      </c>
      <c r="K157" s="114">
        <f t="shared" si="53"/>
        <v>-9.133972801149596</v>
      </c>
      <c r="L157" s="116">
        <f t="shared" si="49"/>
        <v>-0.1909686807744226</v>
      </c>
      <c r="M157" s="116"/>
    </row>
    <row r="158" spans="1:13" ht="12.75">
      <c r="A158" s="5">
        <v>8</v>
      </c>
      <c r="B158" s="83"/>
      <c r="C158" s="29">
        <f t="shared" si="45"/>
        <v>43.04672100000001</v>
      </c>
      <c r="D158" s="29">
        <f t="shared" si="46"/>
        <v>11.622614670000004</v>
      </c>
      <c r="E158" s="29">
        <f t="shared" si="47"/>
        <v>40.5</v>
      </c>
      <c r="G158" s="29">
        <f t="shared" si="50"/>
        <v>-4.945353749999995</v>
      </c>
      <c r="H158" s="29">
        <f t="shared" si="48"/>
        <v>-3.5902127606143495</v>
      </c>
      <c r="I158" s="29">
        <f t="shared" si="51"/>
        <v>13.392090380894551</v>
      </c>
      <c r="J158" s="113">
        <f t="shared" si="52"/>
        <v>-2.549237820754456</v>
      </c>
      <c r="K158" s="114">
        <f t="shared" si="53"/>
        <v>-8.220575521034661</v>
      </c>
      <c r="L158" s="116">
        <f t="shared" si="49"/>
        <v>-0.1909686807744232</v>
      </c>
      <c r="M158" s="116"/>
    </row>
    <row r="159" spans="1:13" ht="12.75">
      <c r="A159" s="5">
        <v>9</v>
      </c>
      <c r="B159" s="83"/>
      <c r="C159" s="29">
        <f t="shared" si="45"/>
        <v>38.742048900000015</v>
      </c>
      <c r="D159" s="29">
        <f t="shared" si="46"/>
        <v>10.460353203000004</v>
      </c>
      <c r="E159" s="29">
        <f t="shared" si="47"/>
        <v>45</v>
      </c>
      <c r="G159" s="29">
        <f t="shared" si="50"/>
        <v>-4.450818374999997</v>
      </c>
      <c r="H159" s="29">
        <f t="shared" si="48"/>
        <v>-3.4106687102057496</v>
      </c>
      <c r="I159" s="29">
        <f t="shared" si="51"/>
        <v>21.530827130219713</v>
      </c>
      <c r="J159" s="113">
        <f t="shared" si="52"/>
        <v>-1.5458454769172154</v>
      </c>
      <c r="K159" s="114">
        <f t="shared" si="53"/>
        <v>-7.398517968931186</v>
      </c>
      <c r="L159" s="116">
        <f t="shared" si="49"/>
        <v>-0.19096868077442294</v>
      </c>
      <c r="M159" s="116"/>
    </row>
    <row r="160" spans="1:13" ht="12.75">
      <c r="A160" s="5">
        <v>10</v>
      </c>
      <c r="B160" s="83"/>
      <c r="C160" s="29">
        <f t="shared" si="45"/>
        <v>34.86784401000001</v>
      </c>
      <c r="D160" s="29">
        <f t="shared" si="46"/>
        <v>9.414317882700004</v>
      </c>
      <c r="E160" s="29">
        <f t="shared" si="47"/>
        <v>49.5</v>
      </c>
      <c r="G160" s="29">
        <f t="shared" si="50"/>
        <v>-25.529097037500005</v>
      </c>
      <c r="H160" s="29">
        <f t="shared" si="48"/>
        <v>-3.261642470633701</v>
      </c>
      <c r="I160" s="29">
        <f t="shared" si="51"/>
        <v>8.461269529206874</v>
      </c>
      <c r="J160" s="113">
        <f t="shared" si="52"/>
        <v>0.02358405133511421</v>
      </c>
      <c r="K160" s="114">
        <f t="shared" si="53"/>
        <v>-6.658666172038072</v>
      </c>
      <c r="L160" s="116">
        <f t="shared" si="49"/>
        <v>-0.19096868077442306</v>
      </c>
      <c r="M160" s="116"/>
    </row>
    <row r="161" spans="1:14" ht="12.75">
      <c r="A161" s="58"/>
      <c r="B161" s="58"/>
      <c r="C161" s="58"/>
      <c r="D161" s="58"/>
      <c r="E161" s="58"/>
      <c r="F161" s="29"/>
      <c r="G161" s="58"/>
      <c r="H161" s="58"/>
      <c r="I161" s="58"/>
      <c r="J161" s="58"/>
      <c r="K161" s="58"/>
      <c r="N161" s="116"/>
    </row>
    <row r="162" spans="1:11" ht="12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</row>
    <row r="164" ht="12.75">
      <c r="B164" s="62" t="s">
        <v>62</v>
      </c>
    </row>
    <row r="165" spans="4:8" ht="12.75">
      <c r="D165" s="67"/>
      <c r="E165" s="67"/>
      <c r="G165" s="67"/>
      <c r="H165" s="67"/>
    </row>
    <row r="166" spans="2:8" ht="12.75">
      <c r="B166" s="46" t="s">
        <v>61</v>
      </c>
      <c r="C166" s="89" t="s">
        <v>48</v>
      </c>
      <c r="D166" s="67" t="s">
        <v>69</v>
      </c>
      <c r="E166" s="67" t="s">
        <v>140</v>
      </c>
      <c r="G166" s="67"/>
      <c r="H166" s="67"/>
    </row>
    <row r="167" spans="1:8" ht="12.75">
      <c r="A167" s="46" t="s">
        <v>0</v>
      </c>
      <c r="B167" s="46" t="s">
        <v>11</v>
      </c>
      <c r="C167" s="46" t="s">
        <v>49</v>
      </c>
      <c r="D167" s="67" t="s">
        <v>141</v>
      </c>
      <c r="E167" s="67" t="s">
        <v>142</v>
      </c>
      <c r="G167" s="67"/>
      <c r="H167" s="67"/>
    </row>
    <row r="168" spans="1:8" ht="13.5">
      <c r="A168" s="46" t="s">
        <v>29</v>
      </c>
      <c r="B168" s="46" t="s">
        <v>19</v>
      </c>
      <c r="C168" s="46" t="s">
        <v>50</v>
      </c>
      <c r="D168" s="67" t="s">
        <v>50</v>
      </c>
      <c r="E168" s="67" t="s">
        <v>143</v>
      </c>
      <c r="G168" s="67"/>
      <c r="H168" s="67"/>
    </row>
    <row r="169" spans="1:2" ht="12.75">
      <c r="A169" s="70"/>
      <c r="B169" s="2"/>
    </row>
    <row r="170" spans="1:2" ht="12.75">
      <c r="A170" s="70">
        <v>0</v>
      </c>
      <c r="B170" s="2"/>
    </row>
    <row r="171" spans="1:12" ht="12.75">
      <c r="A171" s="5">
        <v>1</v>
      </c>
      <c r="B171" s="66">
        <f aca="true" t="shared" si="54" ref="B171:B180">I47</f>
        <v>20.668368376731593</v>
      </c>
      <c r="C171" s="107">
        <f aca="true" t="shared" si="55" ref="C171:C180">B171+K151</f>
        <v>20.668368376731593</v>
      </c>
      <c r="D171" s="114">
        <f aca="true" t="shared" si="56" ref="D171:D180">C8-D89</f>
        <v>100</v>
      </c>
      <c r="E171" s="180">
        <f>C171/D171</f>
        <v>0.20668368376731594</v>
      </c>
      <c r="G171" s="120"/>
      <c r="H171" s="120"/>
      <c r="L171" s="120"/>
    </row>
    <row r="172" spans="1:13" ht="12.75">
      <c r="A172" s="5">
        <v>2</v>
      </c>
      <c r="B172" s="66">
        <f t="shared" si="54"/>
        <v>18.601531539058485</v>
      </c>
      <c r="C172" s="107">
        <f t="shared" si="55"/>
        <v>-5.4605222385188235</v>
      </c>
      <c r="D172" s="114">
        <f t="shared" si="56"/>
        <v>-36</v>
      </c>
      <c r="E172" s="180">
        <f aca="true" t="shared" si="57" ref="E172:E180">C172/D172</f>
        <v>0.15168117329218955</v>
      </c>
      <c r="G172" s="120"/>
      <c r="H172" s="120"/>
      <c r="L172" s="119"/>
      <c r="M172" s="120"/>
    </row>
    <row r="173" spans="1:8" ht="12.75">
      <c r="A173" s="5">
        <v>3</v>
      </c>
      <c r="B173" s="66">
        <f t="shared" si="54"/>
        <v>16.74137838515263</v>
      </c>
      <c r="C173" s="107">
        <f t="shared" si="55"/>
        <v>2.819761556697193</v>
      </c>
      <c r="D173" s="114">
        <f t="shared" si="56"/>
        <v>8.099999999999994</v>
      </c>
      <c r="E173" s="180">
        <f t="shared" si="57"/>
        <v>0.3481187107033574</v>
      </c>
      <c r="G173" s="120"/>
      <c r="H173" s="120"/>
    </row>
    <row r="174" spans="1:12" ht="12.75">
      <c r="A174" s="5">
        <v>4</v>
      </c>
      <c r="B174" s="66">
        <f t="shared" si="54"/>
        <v>15.06724054663733</v>
      </c>
      <c r="C174" s="107">
        <f t="shared" si="55"/>
        <v>2.5377854010274117</v>
      </c>
      <c r="D174" s="114">
        <f t="shared" si="56"/>
        <v>7.289999999999992</v>
      </c>
      <c r="E174" s="180">
        <f t="shared" si="57"/>
        <v>0.34811871070334904</v>
      </c>
      <c r="G174" s="120"/>
      <c r="H174" s="120"/>
      <c r="L174" s="120"/>
    </row>
    <row r="175" spans="1:12" ht="12.75">
      <c r="A175" s="5">
        <v>5</v>
      </c>
      <c r="B175" s="66">
        <f t="shared" si="54"/>
        <v>13.560516491973662</v>
      </c>
      <c r="C175" s="107">
        <f t="shared" si="55"/>
        <v>2.284006860924734</v>
      </c>
      <c r="D175" s="114">
        <f t="shared" si="56"/>
        <v>6.561</v>
      </c>
      <c r="E175" s="180">
        <f t="shared" si="57"/>
        <v>0.3481187107033583</v>
      </c>
      <c r="G175" s="120"/>
      <c r="H175" s="120"/>
      <c r="L175" s="119"/>
    </row>
    <row r="176" spans="1:8" ht="12.75">
      <c r="A176" s="5">
        <v>6</v>
      </c>
      <c r="B176" s="66">
        <f t="shared" si="54"/>
        <v>12.204464842776257</v>
      </c>
      <c r="C176" s="107">
        <f t="shared" si="55"/>
        <v>2.0556061748322243</v>
      </c>
      <c r="D176" s="114">
        <f t="shared" si="56"/>
        <v>5.904899999999998</v>
      </c>
      <c r="E176" s="180">
        <f t="shared" si="57"/>
        <v>0.3481187107033523</v>
      </c>
      <c r="G176" s="120"/>
      <c r="H176" s="120"/>
    </row>
    <row r="177" spans="1:12" ht="12.75">
      <c r="A177" s="5">
        <v>7</v>
      </c>
      <c r="B177" s="66">
        <f t="shared" si="54"/>
        <v>10.984018358498624</v>
      </c>
      <c r="C177" s="107">
        <f t="shared" si="55"/>
        <v>1.850045557349027</v>
      </c>
      <c r="D177" s="114">
        <f t="shared" si="56"/>
        <v>5.314410000000002</v>
      </c>
      <c r="E177" s="180">
        <f t="shared" si="57"/>
        <v>0.34811871070335676</v>
      </c>
      <c r="G177" s="120"/>
      <c r="H177" s="120"/>
      <c r="L177" s="120"/>
    </row>
    <row r="178" spans="1:8" ht="12.75">
      <c r="A178" s="5">
        <v>8</v>
      </c>
      <c r="B178" s="66">
        <f t="shared" si="54"/>
        <v>9.885616522648782</v>
      </c>
      <c r="C178" s="107">
        <f t="shared" si="55"/>
        <v>1.6650410016141208</v>
      </c>
      <c r="D178" s="114">
        <f t="shared" si="56"/>
        <v>4.782969000000001</v>
      </c>
      <c r="E178" s="180">
        <f t="shared" si="57"/>
        <v>0.3481187107033561</v>
      </c>
      <c r="G178" s="120"/>
      <c r="H178" s="120"/>
    </row>
    <row r="179" spans="1:8" ht="12.75">
      <c r="A179" s="5">
        <v>9</v>
      </c>
      <c r="B179" s="66">
        <f t="shared" si="54"/>
        <v>8.897054870383908</v>
      </c>
      <c r="C179" s="107">
        <f t="shared" si="55"/>
        <v>1.498536901452722</v>
      </c>
      <c r="D179" s="114">
        <f t="shared" si="56"/>
        <v>4.304672099999998</v>
      </c>
      <c r="E179" s="180">
        <f t="shared" si="57"/>
        <v>0.3481187107033594</v>
      </c>
      <c r="G179" s="120"/>
      <c r="H179" s="120"/>
    </row>
    <row r="180" spans="1:8" ht="12.75">
      <c r="A180" s="5">
        <v>10</v>
      </c>
      <c r="B180" s="66">
        <f t="shared" si="54"/>
        <v>8.0073493833455</v>
      </c>
      <c r="C180" s="107">
        <f t="shared" si="55"/>
        <v>1.3486832113074287</v>
      </c>
      <c r="D180" s="114">
        <f t="shared" si="56"/>
        <v>3.8742048900000015</v>
      </c>
      <c r="E180" s="180">
        <f t="shared" si="57"/>
        <v>0.3481187107033537</v>
      </c>
      <c r="G180" s="120"/>
      <c r="H180" s="120"/>
    </row>
  </sheetData>
  <printOptions/>
  <pageMargins left="0.75" right="0.75" top="1" bottom="1" header="0.5" footer="0.5"/>
  <pageSetup horizontalDpi="600" verticalDpi="600" orientation="landscape" scale="57" r:id="rId1"/>
  <headerFooter alignWithMargins="0">
    <oddFooter>&amp;C&amp;F</oddFooter>
  </headerFooter>
  <rowBreaks count="3" manualBreakCount="3">
    <brk id="58" max="255" man="1"/>
    <brk id="121" max="255" man="1"/>
    <brk id="16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Weber</dc:creator>
  <cp:keywords/>
  <dc:description/>
  <cp:lastModifiedBy>eschuering001</cp:lastModifiedBy>
  <cp:lastPrinted>2002-09-27T16:05:16Z</cp:lastPrinted>
  <dcterms:created xsi:type="dcterms:W3CDTF">2000-04-26T19:59:13Z</dcterms:created>
  <dcterms:modified xsi:type="dcterms:W3CDTF">2002-09-27T16:05:30Z</dcterms:modified>
  <cp:category/>
  <cp:version/>
  <cp:contentType/>
  <cp:contentStatus/>
</cp:coreProperties>
</file>