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240" yWindow="375" windowWidth="19440" windowHeight="9240" activeTab="0"/>
  </bookViews>
  <sheets>
    <sheet name="Assumptions" sheetId="1" r:id="rId1"/>
    <sheet name="Base Case" sheetId="2" r:id="rId2"/>
    <sheet name="Mort Sensitivity" sheetId="5" r:id="rId3"/>
    <sheet name="2001 CSO" sheetId="4" r:id="rId4"/>
  </sheets>
  <externalReferences>
    <externalReference r:id="rId7"/>
    <externalReference r:id="rId8"/>
    <externalReference r:id="rId9"/>
  </externalReferences>
  <definedNames>
    <definedName name="AcqExpPerPol">'Assumptions'!$C$18</definedName>
    <definedName name="BestEstInflation">'Assumptions'!$C$20</definedName>
    <definedName name="BestEstInvRet">'Assumptions'!$C$13</definedName>
    <definedName name="BestEstInvRetDown">'Assumptions'!$C$47</definedName>
    <definedName name="BestEstInvRetUp">'Assumptions'!$C$48</definedName>
    <definedName name="BestEstMortPerc">'Assumptions'!$C$14</definedName>
    <definedName name="GAAPAcqExpDef">'Assumptions'!$C$37</definedName>
    <definedName name="GAAPPADInf">'Assumptions'!$C$36</definedName>
    <definedName name="GAAPPADInvRet">'Assumptions'!$C$31</definedName>
    <definedName name="GAAPPADMaintExp">'Assumptions'!$C$35</definedName>
    <definedName name="GAAPPADMaintExpDown">'Assumptions'!$C$59</definedName>
    <definedName name="GAAPPADMaintExpPerPol">'Assumptions'!$C$35</definedName>
    <definedName name="GAAPPADMaintExpUp">'Assumptions'!$C$58</definedName>
    <definedName name="GAAPPADMortPerc">'Assumptions'!$C$32</definedName>
    <definedName name="InitFace">'Assumptions'!$C$9</definedName>
    <definedName name="IssAge">'Assumptions'!$C$5</definedName>
    <definedName name="MaintExpPerPol">'Assumptions'!$C$19</definedName>
    <definedName name="MaintExpPerPolDown">'Assumptions'!$C$46</definedName>
    <definedName name="MaintExpPerPolUp">'Assumptions'!$C$45</definedName>
    <definedName name="Premperk">'[1]Whole Life - Control'!$C$6</definedName>
    <definedName name="_xlnm.Print_Area" localSheetId="0">'Assumptions'!$A$1:$R$59</definedName>
    <definedName name="StatValRate">'Assumptions'!$C$25</definedName>
    <definedName name="TaxRate">'Assumptions'!$C$21</definedName>
    <definedName name="Term">'Assumptions'!$C$6</definedName>
    <definedName name="TSPercPrem">'Assumptions'!$C$27</definedName>
    <definedName name="TSPercRes">'Assumptions'!$C$28</definedName>
    <definedName name="UltCommRate">'Assumptions'!$D$17</definedName>
  </definedNames>
  <calcPr calcId="125725"/>
</workbook>
</file>

<file path=xl/sharedStrings.xml><?xml version="1.0" encoding="utf-8"?>
<sst xmlns="http://schemas.openxmlformats.org/spreadsheetml/2006/main" count="185" uniqueCount="105">
  <si>
    <t>Product Features and Assumptions:</t>
  </si>
  <si>
    <t>Instructions: Please add formulas to the cell that are highlighted in yellow.</t>
  </si>
  <si>
    <t>Year</t>
  </si>
  <si>
    <t>Building Block Assumptions:</t>
  </si>
  <si>
    <t>Product</t>
  </si>
  <si>
    <t>Issue Age</t>
  </si>
  <si>
    <t>Term</t>
  </si>
  <si>
    <t>Sex</t>
  </si>
  <si>
    <t>M</t>
  </si>
  <si>
    <t>Premium / 1000</t>
  </si>
  <si>
    <t>Discount Interest Rate</t>
  </si>
  <si>
    <t>Initial Face Amount</t>
  </si>
  <si>
    <t>Please calculate the interest discount rate using any of the following rates that are applicable.</t>
  </si>
  <si>
    <t>Surrender Value / 1000</t>
  </si>
  <si>
    <t>Best estimate Assumptions</t>
  </si>
  <si>
    <t>Risk free rate</t>
  </si>
  <si>
    <t>Liquidity premium</t>
  </si>
  <si>
    <t>Mortality as % of 2001 CSO</t>
  </si>
  <si>
    <t>Mortality</t>
  </si>
  <si>
    <t xml:space="preserve">Discount Rate = </t>
  </si>
  <si>
    <t>Lapses</t>
  </si>
  <si>
    <t>Commissions</t>
  </si>
  <si>
    <t>Acquisition</t>
  </si>
  <si>
    <t>Maintenance per policy</t>
  </si>
  <si>
    <t>Inflation</t>
  </si>
  <si>
    <t>Tax Rate</t>
  </si>
  <si>
    <t>Statutory</t>
  </si>
  <si>
    <t>Guaranteed Premium / 1000</t>
  </si>
  <si>
    <t>Valuation Rate</t>
  </si>
  <si>
    <t>Target Surplus - % premium</t>
  </si>
  <si>
    <t>Target Surplus - % reserves</t>
  </si>
  <si>
    <t>GAAP - Assumptions with PADs</t>
  </si>
  <si>
    <t>Investment return</t>
  </si>
  <si>
    <t>Maintenance Expenses</t>
  </si>
  <si>
    <t>% Acquisition Deferrable</t>
  </si>
  <si>
    <t>Best estimate Assumptions with Shocks</t>
  </si>
  <si>
    <t>Mortality Up</t>
  </si>
  <si>
    <t>Mortality Down</t>
  </si>
  <si>
    <t>Lapses Up</t>
  </si>
  <si>
    <t>Lapses Down</t>
  </si>
  <si>
    <t>Maintenance Expenses Up</t>
  </si>
  <si>
    <t>Maintenance Expenses Down</t>
  </si>
  <si>
    <t>Investment Return Down</t>
  </si>
  <si>
    <t>Investment Return Up</t>
  </si>
  <si>
    <t>GAAP - Shock Assumptions with PADs</t>
  </si>
  <si>
    <t>Investment return up</t>
  </si>
  <si>
    <t>Investment return down</t>
  </si>
  <si>
    <t>Mortality for Up Shocks</t>
  </si>
  <si>
    <t>Mortality for Down Shocks</t>
  </si>
  <si>
    <t>Lapses up 50%</t>
  </si>
  <si>
    <t>Lapses down 50%</t>
  </si>
  <si>
    <t>Ten Year Term Life Contract</t>
  </si>
  <si>
    <t>IASB</t>
  </si>
  <si>
    <t>FASB</t>
  </si>
  <si>
    <t>Assets</t>
  </si>
  <si>
    <t>Liabilities</t>
  </si>
  <si>
    <t>Insurance contract liabilities</t>
  </si>
  <si>
    <t>Residual margin liabilities</t>
  </si>
  <si>
    <t>Debt</t>
  </si>
  <si>
    <t>Add't liability for onerous contracts</t>
  </si>
  <si>
    <t>Other Liabilities</t>
  </si>
  <si>
    <t>Loss/Gain recongition</t>
  </si>
  <si>
    <t>Loss/Gain at Issue</t>
  </si>
  <si>
    <t>Best Estimate Cashflows</t>
  </si>
  <si>
    <t>Premium</t>
  </si>
  <si>
    <t>Benefits</t>
  </si>
  <si>
    <t>Acquisition Expense</t>
  </si>
  <si>
    <t>Maintenance Expense</t>
  </si>
  <si>
    <t>Discount Rate</t>
  </si>
  <si>
    <t>NPV of Premium</t>
  </si>
  <si>
    <t>NPV of Benefits</t>
  </si>
  <si>
    <t>NPV of Acquisition Expense</t>
  </si>
  <si>
    <t>NPV of Maintenance Expense</t>
  </si>
  <si>
    <t>NPV of Fulfilment Cash Flows</t>
  </si>
  <si>
    <t xml:space="preserve">Risk Adjustment  </t>
  </si>
  <si>
    <t>Residual Margin</t>
  </si>
  <si>
    <t>Total - 3 Building Blocks</t>
  </si>
  <si>
    <t>Composite Margin</t>
  </si>
  <si>
    <t>End of Year</t>
  </si>
  <si>
    <t>Insurance Inforce</t>
  </si>
  <si>
    <t>Premiums</t>
  </si>
  <si>
    <t>Mortality shock</t>
  </si>
  <si>
    <t>2001 CSO ALB</t>
  </si>
  <si>
    <t>Age</t>
  </si>
  <si>
    <t>Male</t>
  </si>
  <si>
    <t>Female</t>
  </si>
  <si>
    <r>
      <t>PV{ ∑</t>
    </r>
    <r>
      <rPr>
        <vertAlign val="superscript"/>
        <sz val="10"/>
        <rFont val="Arial"/>
        <family val="2"/>
      </rPr>
      <t>n</t>
    </r>
    <r>
      <rPr>
        <vertAlign val="subscript"/>
        <sz val="10"/>
        <rFont val="Arial"/>
        <family val="2"/>
      </rPr>
      <t>t=1</t>
    </r>
    <r>
      <rPr>
        <sz val="10"/>
        <rFont val="Arial"/>
        <family val="2"/>
      </rPr>
      <t xml:space="preserve"> r</t>
    </r>
    <r>
      <rPr>
        <vertAlign val="subscript"/>
        <sz val="10"/>
        <rFont val="Arial"/>
        <family val="2"/>
      </rPr>
      <t>c</t>
    </r>
    <r>
      <rPr>
        <sz val="10"/>
        <rFont val="Arial"/>
        <family val="2"/>
      </rPr>
      <t xml:space="preserve"> *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>}</t>
    </r>
  </si>
  <si>
    <r>
      <t>of face amount</t>
    </r>
    <r>
      <rPr>
        <vertAlign val="subscript"/>
        <sz val="11"/>
        <color theme="1"/>
        <rFont val="Calibri"/>
        <family val="2"/>
      </rPr>
      <t>t</t>
    </r>
    <r>
      <rPr>
        <sz val="11"/>
        <color theme="1"/>
        <rFont val="Calibri"/>
        <family val="2"/>
        <scheme val="minor"/>
      </rPr>
      <t xml:space="preserve"> +</t>
    </r>
  </si>
  <si>
    <r>
      <t>of premium</t>
    </r>
    <r>
      <rPr>
        <vertAlign val="subscript"/>
        <sz val="11"/>
        <color theme="1"/>
        <rFont val="Calibri"/>
        <family val="2"/>
      </rPr>
      <t>t</t>
    </r>
  </si>
  <si>
    <t>Risk Adjustment (Cost of Capital Approach)</t>
  </si>
  <si>
    <t>Credit spread</t>
  </si>
  <si>
    <t>S&amp;P 500 Return</t>
  </si>
  <si>
    <t>Time</t>
  </si>
  <si>
    <t>Cost of Capital</t>
  </si>
  <si>
    <r>
      <t>and cost of capital rate, r</t>
    </r>
    <r>
      <rPr>
        <vertAlign val="subscript"/>
        <sz val="11"/>
        <color theme="1"/>
        <rFont val="Calibri"/>
        <family val="2"/>
      </rPr>
      <t xml:space="preserve">c </t>
    </r>
    <r>
      <rPr>
        <sz val="11"/>
        <color theme="1"/>
        <rFont val="Calibri"/>
        <family val="2"/>
      </rPr>
      <t>,=</t>
    </r>
  </si>
  <si>
    <r>
      <t>where cost of capital at time t, C</t>
    </r>
    <r>
      <rPr>
        <vertAlign val="subscript"/>
        <sz val="10"/>
        <rFont val="Arial"/>
        <family val="2"/>
      </rPr>
      <t>t</t>
    </r>
    <r>
      <rPr>
        <sz val="10"/>
        <rFont val="Arial"/>
        <family val="2"/>
      </rPr>
      <t xml:space="preserve"> , =</t>
    </r>
  </si>
  <si>
    <t>Assume BOY</t>
  </si>
  <si>
    <t>NPV of Commission</t>
  </si>
  <si>
    <t>Time zero Balance Sheet</t>
  </si>
  <si>
    <t>IASB Approach to margins</t>
  </si>
  <si>
    <t>FASB Approach to margins</t>
  </si>
  <si>
    <t>Composite margin liabilities</t>
  </si>
  <si>
    <t>Mortality Sensitivity</t>
  </si>
  <si>
    <t>Assume only 75% of the $75 of the acquisition cost is incremental &amp; successful</t>
  </si>
  <si>
    <t>For illustration only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</si>
</sst>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* #,##0.0000_);_(* \(#,##0.0000\);_(* &quot;-&quot;??_);_(@_)"/>
    <numFmt numFmtId="168" formatCode="_(* #,##0.00000_);_(* \(#,##0.00000\);_(* &quot;-&quot;??_);_(@_)"/>
    <numFmt numFmtId="169" formatCode="_(* #,##0.000_);_(* \(#,##0.000\);_(* &quot;-&quot;??_);_(@_)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u val="single"/>
      <sz val="14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</font>
    <font>
      <sz val="11"/>
      <color rgb="FF3E3E3E"/>
      <name val="Arial"/>
      <family val="2"/>
    </font>
    <font>
      <i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6"/>
      <color rgb="FF002060"/>
      <name val="Arial"/>
      <family val="2"/>
    </font>
    <font>
      <sz val="16"/>
      <color rgb="FF002060"/>
      <name val="Arial"/>
      <family val="2"/>
    </font>
    <font>
      <b/>
      <sz val="14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00206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/>
      <top style="double"/>
      <bottom/>
    </border>
    <border>
      <left style="thin"/>
      <right style="medium"/>
      <top style="double"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47">
    <xf numFmtId="0" fontId="0" fillId="0" borderId="0" xfId="0"/>
    <xf numFmtId="0" fontId="3" fillId="2" borderId="0" xfId="20" applyFont="1" applyFill="1" applyBorder="1">
      <alignment/>
      <protection/>
    </xf>
    <xf numFmtId="164" fontId="0" fillId="2" borderId="0" xfId="18" applyNumberFormat="1" applyFont="1" applyFill="1"/>
    <xf numFmtId="0" fontId="0" fillId="2" borderId="0" xfId="0" applyFill="1"/>
    <xf numFmtId="0" fontId="4" fillId="3" borderId="0" xfId="0" applyFont="1" applyFill="1"/>
    <xf numFmtId="164" fontId="5" fillId="3" borderId="0" xfId="18" applyNumberFormat="1" applyFont="1" applyFill="1" applyBorder="1"/>
    <xf numFmtId="0" fontId="6" fillId="3" borderId="0" xfId="0" applyFont="1" applyFill="1" applyBorder="1"/>
    <xf numFmtId="0" fontId="0" fillId="3" borderId="0" xfId="0" applyFill="1" applyBorder="1"/>
    <xf numFmtId="0" fontId="0" fillId="2" borderId="0" xfId="0" applyFill="1" applyBorder="1"/>
    <xf numFmtId="0" fontId="2" fillId="2" borderId="0" xfId="0" applyFont="1" applyFill="1" applyBorder="1"/>
    <xf numFmtId="164" fontId="2" fillId="2" borderId="0" xfId="18" applyNumberFormat="1" applyFont="1" applyFill="1" applyBorder="1"/>
    <xf numFmtId="164" fontId="2" fillId="2" borderId="0" xfId="18" applyNumberFormat="1" applyFont="1" applyFill="1"/>
    <xf numFmtId="0" fontId="7" fillId="2" borderId="0" xfId="0" applyFont="1" applyFill="1" applyBorder="1"/>
    <xf numFmtId="164" fontId="0" fillId="2" borderId="0" xfId="18" applyNumberFormat="1" applyFont="1" applyFill="1" applyBorder="1"/>
    <xf numFmtId="0" fontId="8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1" xfId="0" applyFill="1" applyBorder="1"/>
    <xf numFmtId="164" fontId="0" fillId="2" borderId="2" xfId="18" applyNumberFormat="1" applyFont="1" applyFill="1" applyBorder="1"/>
    <xf numFmtId="10" fontId="2" fillId="2" borderId="4" xfId="0" applyNumberFormat="1" applyFont="1" applyFill="1" applyBorder="1"/>
    <xf numFmtId="0" fontId="0" fillId="2" borderId="5" xfId="0" applyFill="1" applyBorder="1"/>
    <xf numFmtId="0" fontId="0" fillId="2" borderId="4" xfId="0" applyFill="1" applyBorder="1"/>
    <xf numFmtId="164" fontId="0" fillId="2" borderId="5" xfId="18" applyNumberFormat="1" applyFont="1" applyFill="1" applyBorder="1"/>
    <xf numFmtId="164" fontId="0" fillId="2" borderId="0" xfId="18" applyNumberFormat="1" applyFont="1" applyFill="1" applyBorder="1" applyAlignment="1">
      <alignment horizontal="right"/>
    </xf>
    <xf numFmtId="165" fontId="0" fillId="2" borderId="0" xfId="18" applyNumberFormat="1" applyFont="1" applyFill="1" applyBorder="1"/>
    <xf numFmtId="165" fontId="0" fillId="2" borderId="5" xfId="18" applyNumberFormat="1" applyFont="1" applyFill="1" applyBorder="1"/>
    <xf numFmtId="0" fontId="9" fillId="2" borderId="4" xfId="0" applyFont="1" applyFill="1" applyBorder="1"/>
    <xf numFmtId="0" fontId="0" fillId="2" borderId="6" xfId="0" applyFill="1" applyBorder="1"/>
    <xf numFmtId="164" fontId="0" fillId="2" borderId="7" xfId="0" applyNumberFormat="1" applyFill="1" applyBorder="1"/>
    <xf numFmtId="164" fontId="0" fillId="2" borderId="8" xfId="0" applyNumberFormat="1" applyFill="1" applyBorder="1"/>
    <xf numFmtId="164" fontId="0" fillId="2" borderId="0" xfId="0" applyNumberFormat="1" applyFill="1"/>
    <xf numFmtId="0" fontId="11" fillId="2" borderId="4" xfId="0" applyFont="1" applyFill="1" applyBorder="1"/>
    <xf numFmtId="10" fontId="0" fillId="2" borderId="0" xfId="0" applyNumberFormat="1" applyFill="1" applyBorder="1"/>
    <xf numFmtId="10" fontId="0" fillId="2" borderId="2" xfId="15" applyNumberFormat="1" applyFont="1" applyFill="1" applyBorder="1"/>
    <xf numFmtId="10" fontId="0" fillId="2" borderId="3" xfId="15" applyNumberFormat="1" applyFont="1" applyFill="1" applyBorder="1"/>
    <xf numFmtId="10" fontId="0" fillId="2" borderId="0" xfId="15" applyNumberFormat="1" applyFont="1" applyFill="1"/>
    <xf numFmtId="166" fontId="0" fillId="2" borderId="0" xfId="15" applyNumberFormat="1" applyFont="1" applyFill="1" applyBorder="1"/>
    <xf numFmtId="167" fontId="0" fillId="2" borderId="0" xfId="18" applyNumberFormat="1" applyFont="1" applyFill="1" applyBorder="1"/>
    <xf numFmtId="167" fontId="0" fillId="2" borderId="5" xfId="18" applyNumberFormat="1" applyFont="1" applyFill="1" applyBorder="1"/>
    <xf numFmtId="167" fontId="0" fillId="2" borderId="0" xfId="18" applyNumberFormat="1" applyFont="1" applyFill="1"/>
    <xf numFmtId="9" fontId="0" fillId="2" borderId="0" xfId="15" applyFont="1" applyFill="1" applyBorder="1"/>
    <xf numFmtId="9" fontId="0" fillId="2" borderId="0" xfId="0" applyNumberFormat="1" applyFill="1" applyBorder="1"/>
    <xf numFmtId="9" fontId="0" fillId="2" borderId="5" xfId="0" applyNumberFormat="1" applyFill="1" applyBorder="1"/>
    <xf numFmtId="9" fontId="0" fillId="2" borderId="0" xfId="0" applyNumberFormat="1" applyFill="1"/>
    <xf numFmtId="9" fontId="2" fillId="2" borderId="4" xfId="0" applyNumberFormat="1" applyFont="1" applyFill="1" applyBorder="1"/>
    <xf numFmtId="10" fontId="0" fillId="2" borderId="0" xfId="15" applyNumberFormat="1" applyFont="1" applyFill="1" applyBorder="1"/>
    <xf numFmtId="9" fontId="0" fillId="2" borderId="7" xfId="15" applyFont="1" applyFill="1" applyBorder="1"/>
    <xf numFmtId="0" fontId="0" fillId="2" borderId="7" xfId="0" applyFill="1" applyBorder="1"/>
    <xf numFmtId="0" fontId="0" fillId="2" borderId="8" xfId="0" applyFill="1" applyBorder="1"/>
    <xf numFmtId="0" fontId="7" fillId="2" borderId="0" xfId="0" applyFont="1" applyFill="1"/>
    <xf numFmtId="9" fontId="0" fillId="2" borderId="0" xfId="15" applyFont="1" applyFill="1"/>
    <xf numFmtId="168" fontId="0" fillId="2" borderId="0" xfId="18" applyNumberFormat="1" applyFont="1" applyFill="1"/>
    <xf numFmtId="166" fontId="0" fillId="2" borderId="0" xfId="15" applyNumberFormat="1" applyFont="1" applyFill="1"/>
    <xf numFmtId="0" fontId="12" fillId="2" borderId="0" xfId="0" applyFont="1" applyFill="1"/>
    <xf numFmtId="165" fontId="1" fillId="2" borderId="0" xfId="18" applyNumberFormat="1" applyFont="1" applyFill="1"/>
    <xf numFmtId="165" fontId="1" fillId="3" borderId="0" xfId="18" applyNumberFormat="1" applyFont="1" applyFill="1"/>
    <xf numFmtId="0" fontId="13" fillId="2" borderId="0" xfId="0" applyFont="1" applyFill="1"/>
    <xf numFmtId="165" fontId="14" fillId="2" borderId="0" xfId="18" applyNumberFormat="1" applyFont="1" applyFill="1"/>
    <xf numFmtId="0" fontId="16" fillId="4" borderId="9" xfId="0" applyFont="1" applyFill="1" applyBorder="1"/>
    <xf numFmtId="165" fontId="17" fillId="4" borderId="10" xfId="18" applyNumberFormat="1" applyFont="1" applyFill="1" applyBorder="1"/>
    <xf numFmtId="0" fontId="16" fillId="4" borderId="0" xfId="0" applyFont="1" applyFill="1" applyBorder="1"/>
    <xf numFmtId="165" fontId="17" fillId="5" borderId="10" xfId="18" applyNumberFormat="1" applyFont="1" applyFill="1" applyBorder="1"/>
    <xf numFmtId="0" fontId="18" fillId="2" borderId="9" xfId="0" applyFont="1" applyFill="1" applyBorder="1"/>
    <xf numFmtId="165" fontId="19" fillId="5" borderId="10" xfId="18" applyNumberFormat="1" applyFont="1" applyFill="1" applyBorder="1"/>
    <xf numFmtId="165" fontId="1" fillId="2" borderId="0" xfId="18" applyNumberFormat="1" applyFont="1" applyFill="1" applyBorder="1"/>
    <xf numFmtId="165" fontId="19" fillId="2" borderId="10" xfId="18" applyNumberFormat="1" applyFont="1" applyFill="1" applyBorder="1"/>
    <xf numFmtId="0" fontId="18" fillId="2" borderId="11" xfId="0" applyFont="1" applyFill="1" applyBorder="1"/>
    <xf numFmtId="165" fontId="1" fillId="2" borderId="12" xfId="18" applyNumberFormat="1" applyFont="1" applyFill="1" applyBorder="1"/>
    <xf numFmtId="165" fontId="19" fillId="2" borderId="13" xfId="18" applyNumberFormat="1" applyFont="1" applyFill="1" applyBorder="1"/>
    <xf numFmtId="0" fontId="16" fillId="4" borderId="12" xfId="0" applyFont="1" applyFill="1" applyBorder="1"/>
    <xf numFmtId="165" fontId="20" fillId="2" borderId="11" xfId="18" applyNumberFormat="1" applyFont="1" applyFill="1" applyBorder="1"/>
    <xf numFmtId="165" fontId="17" fillId="4" borderId="14" xfId="18" applyNumberFormat="1" applyFont="1" applyFill="1" applyBorder="1"/>
    <xf numFmtId="164" fontId="21" fillId="2" borderId="15" xfId="18" applyNumberFormat="1" applyFont="1" applyFill="1" applyBorder="1"/>
    <xf numFmtId="164" fontId="21" fillId="2" borderId="16" xfId="18" applyNumberFormat="1" applyFont="1" applyFill="1" applyBorder="1"/>
    <xf numFmtId="164" fontId="21" fillId="2" borderId="0" xfId="18" applyNumberFormat="1" applyFont="1" applyFill="1"/>
    <xf numFmtId="165" fontId="21" fillId="2" borderId="17" xfId="18" applyNumberFormat="1" applyFont="1" applyFill="1" applyBorder="1"/>
    <xf numFmtId="37" fontId="22" fillId="2" borderId="18" xfId="18" applyNumberFormat="1" applyFont="1" applyFill="1" applyBorder="1"/>
    <xf numFmtId="37" fontId="22" fillId="2" borderId="19" xfId="18" applyNumberFormat="1" applyFont="1" applyFill="1" applyBorder="1"/>
    <xf numFmtId="165" fontId="21" fillId="2" borderId="0" xfId="18" applyNumberFormat="1" applyFont="1" applyFill="1"/>
    <xf numFmtId="165" fontId="21" fillId="2" borderId="20" xfId="18" applyNumberFormat="1" applyFont="1" applyFill="1" applyBorder="1"/>
    <xf numFmtId="37" fontId="22" fillId="2" borderId="21" xfId="18" applyNumberFormat="1" applyFont="1" applyFill="1" applyBorder="1"/>
    <xf numFmtId="37" fontId="22" fillId="2" borderId="22" xfId="18" applyNumberFormat="1" applyFont="1" applyFill="1" applyBorder="1"/>
    <xf numFmtId="165" fontId="23" fillId="2" borderId="23" xfId="18" applyNumberFormat="1" applyFont="1" applyFill="1" applyBorder="1"/>
    <xf numFmtId="165" fontId="24" fillId="2" borderId="0" xfId="18" applyNumberFormat="1" applyFont="1" applyFill="1"/>
    <xf numFmtId="165" fontId="23" fillId="2" borderId="0" xfId="18" applyNumberFormat="1" applyFont="1" applyFill="1"/>
    <xf numFmtId="165" fontId="25" fillId="2" borderId="0" xfId="18" applyNumberFormat="1" applyFont="1" applyFill="1"/>
    <xf numFmtId="10" fontId="25" fillId="2" borderId="0" xfId="15" applyNumberFormat="1" applyFont="1" applyFill="1"/>
    <xf numFmtId="165" fontId="26" fillId="2" borderId="0" xfId="18" applyNumberFormat="1" applyFont="1" applyFill="1"/>
    <xf numFmtId="0" fontId="27" fillId="2" borderId="0" xfId="0" applyFont="1" applyFill="1"/>
    <xf numFmtId="165" fontId="24" fillId="2" borderId="15" xfId="18" applyNumberFormat="1" applyFont="1" applyFill="1" applyBorder="1"/>
    <xf numFmtId="164" fontId="24" fillId="2" borderId="15" xfId="18" applyNumberFormat="1" applyFont="1" applyFill="1" applyBorder="1"/>
    <xf numFmtId="164" fontId="24" fillId="2" borderId="16" xfId="18" applyNumberFormat="1" applyFont="1" applyFill="1" applyBorder="1"/>
    <xf numFmtId="165" fontId="24" fillId="2" borderId="17" xfId="18" applyNumberFormat="1" applyFont="1" applyFill="1" applyBorder="1"/>
    <xf numFmtId="37" fontId="24" fillId="5" borderId="18" xfId="18" applyNumberFormat="1" applyFont="1" applyFill="1" applyBorder="1"/>
    <xf numFmtId="37" fontId="24" fillId="5" borderId="19" xfId="18" applyNumberFormat="1" applyFont="1" applyFill="1" applyBorder="1"/>
    <xf numFmtId="165" fontId="24" fillId="2" borderId="20" xfId="18" applyNumberFormat="1" applyFont="1" applyFill="1" applyBorder="1"/>
    <xf numFmtId="37" fontId="23" fillId="5" borderId="21" xfId="18" applyNumberFormat="1" applyFont="1" applyFill="1" applyBorder="1"/>
    <xf numFmtId="0" fontId="22" fillId="2" borderId="0" xfId="0" applyFont="1" applyFill="1"/>
    <xf numFmtId="37" fontId="24" fillId="2" borderId="0" xfId="18" applyNumberFormat="1" applyFont="1" applyFill="1"/>
    <xf numFmtId="165" fontId="24" fillId="2" borderId="0" xfId="18" applyNumberFormat="1" applyFont="1" applyFill="1" applyBorder="1"/>
    <xf numFmtId="0" fontId="23" fillId="2" borderId="24" xfId="20" applyFont="1" applyFill="1" applyBorder="1">
      <alignment/>
      <protection/>
    </xf>
    <xf numFmtId="0" fontId="23" fillId="2" borderId="25" xfId="20" applyFont="1" applyFill="1" applyBorder="1">
      <alignment/>
      <protection/>
    </xf>
    <xf numFmtId="0" fontId="23" fillId="2" borderId="26" xfId="20" applyFont="1" applyFill="1" applyBorder="1">
      <alignment/>
      <protection/>
    </xf>
    <xf numFmtId="0" fontId="24" fillId="2" borderId="27" xfId="20" applyFont="1" applyFill="1" applyBorder="1">
      <alignment/>
      <protection/>
    </xf>
    <xf numFmtId="169" fontId="24" fillId="2" borderId="17" xfId="18" applyNumberFormat="1" applyFont="1" applyFill="1" applyBorder="1"/>
    <xf numFmtId="43" fontId="24" fillId="2" borderId="18" xfId="18" applyFont="1" applyFill="1" applyBorder="1"/>
    <xf numFmtId="43" fontId="24" fillId="2" borderId="19" xfId="18" applyFont="1" applyFill="1" applyBorder="1"/>
    <xf numFmtId="165" fontId="23" fillId="2" borderId="11" xfId="18" applyNumberFormat="1" applyFont="1" applyFill="1" applyBorder="1"/>
    <xf numFmtId="9" fontId="23" fillId="2" borderId="12" xfId="15" applyFont="1" applyFill="1" applyBorder="1"/>
    <xf numFmtId="165" fontId="24" fillId="2" borderId="12" xfId="18" applyNumberFormat="1" applyFont="1" applyFill="1" applyBorder="1"/>
    <xf numFmtId="165" fontId="24" fillId="2" borderId="13" xfId="18" applyNumberFormat="1" applyFont="1" applyFill="1" applyBorder="1"/>
    <xf numFmtId="0" fontId="1" fillId="0" borderId="0" xfId="20">
      <alignment/>
      <protection/>
    </xf>
    <xf numFmtId="0" fontId="20" fillId="0" borderId="9" xfId="20" applyFont="1" applyBorder="1" applyAlignment="1">
      <alignment horizontal="center"/>
      <protection/>
    </xf>
    <xf numFmtId="0" fontId="20" fillId="0" borderId="28" xfId="20" applyFont="1" applyBorder="1" applyAlignment="1">
      <alignment horizontal="center"/>
      <protection/>
    </xf>
    <xf numFmtId="0" fontId="20" fillId="0" borderId="29" xfId="20" applyFont="1" applyBorder="1">
      <alignment/>
      <protection/>
    </xf>
    <xf numFmtId="0" fontId="1" fillId="0" borderId="9" xfId="20" applyBorder="1" applyAlignment="1">
      <alignment horizontal="center"/>
      <protection/>
    </xf>
    <xf numFmtId="0" fontId="1" fillId="0" borderId="4" xfId="20" applyBorder="1" applyAlignment="1">
      <alignment horizontal="center"/>
      <protection/>
    </xf>
    <xf numFmtId="0" fontId="1" fillId="0" borderId="30" xfId="20" applyBorder="1">
      <alignment/>
      <protection/>
    </xf>
    <xf numFmtId="0" fontId="1" fillId="0" borderId="11" xfId="20" applyBorder="1" applyAlignment="1">
      <alignment horizontal="center"/>
      <protection/>
    </xf>
    <xf numFmtId="0" fontId="1" fillId="0" borderId="31" xfId="20" applyBorder="1" applyAlignment="1">
      <alignment horizontal="center"/>
      <protection/>
    </xf>
    <xf numFmtId="0" fontId="1" fillId="0" borderId="32" xfId="20" applyBorder="1">
      <alignment/>
      <protection/>
    </xf>
    <xf numFmtId="0" fontId="0" fillId="2" borderId="0" xfId="0" applyFont="1" applyFill="1" applyBorder="1"/>
    <xf numFmtId="0" fontId="1" fillId="0" borderId="4" xfId="0" applyFont="1" applyBorder="1" applyAlignment="1">
      <alignment horizontal="left"/>
    </xf>
    <xf numFmtId="0" fontId="31" fillId="2" borderId="4" xfId="0" applyFont="1" applyFill="1" applyBorder="1"/>
    <xf numFmtId="0" fontId="2" fillId="2" borderId="6" xfId="0" applyFont="1" applyFill="1" applyBorder="1"/>
    <xf numFmtId="10" fontId="2" fillId="5" borderId="7" xfId="0" applyNumberFormat="1" applyFont="1" applyFill="1" applyBorder="1"/>
    <xf numFmtId="37" fontId="24" fillId="2" borderId="25" xfId="18" applyNumberFormat="1" applyFont="1" applyFill="1" applyBorder="1"/>
    <xf numFmtId="37" fontId="24" fillId="2" borderId="26" xfId="18" applyNumberFormat="1" applyFont="1" applyFill="1" applyBorder="1"/>
    <xf numFmtId="37" fontId="24" fillId="5" borderId="22" xfId="18" applyNumberFormat="1" applyFont="1" applyFill="1" applyBorder="1"/>
    <xf numFmtId="0" fontId="24" fillId="2" borderId="15" xfId="18" applyNumberFormat="1" applyFont="1" applyFill="1" applyBorder="1" applyAlignment="1">
      <alignment horizontal="center"/>
    </xf>
    <xf numFmtId="0" fontId="18" fillId="2" borderId="0" xfId="0" applyFont="1" applyFill="1" applyBorder="1"/>
    <xf numFmtId="0" fontId="18" fillId="2" borderId="12" xfId="0" applyFont="1" applyFill="1" applyBorder="1"/>
    <xf numFmtId="10" fontId="23" fillId="0" borderId="0" xfId="15" applyNumberFormat="1" applyFont="1" applyFill="1"/>
    <xf numFmtId="0" fontId="0" fillId="5" borderId="0" xfId="0" applyFill="1"/>
    <xf numFmtId="0" fontId="10" fillId="0" borderId="4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0" fillId="0" borderId="5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15" fillId="6" borderId="33" xfId="0" applyFont="1" applyFill="1" applyBorder="1" applyAlignment="1">
      <alignment horizontal="center"/>
    </xf>
    <xf numFmtId="0" fontId="15" fillId="6" borderId="34" xfId="0" applyFont="1" applyFill="1" applyBorder="1" applyAlignment="1">
      <alignment horizontal="center"/>
    </xf>
    <xf numFmtId="0" fontId="15" fillId="6" borderId="33" xfId="0" applyFont="1" applyFill="1" applyBorder="1" applyAlignment="1">
      <alignment horizontal="center" vertical="center"/>
    </xf>
    <xf numFmtId="0" fontId="15" fillId="6" borderId="35" xfId="0" applyFont="1" applyFill="1" applyBorder="1" applyAlignment="1">
      <alignment horizontal="center" vertical="center"/>
    </xf>
    <xf numFmtId="0" fontId="15" fillId="6" borderId="34" xfId="0" applyFont="1" applyFill="1" applyBorder="1" applyAlignment="1">
      <alignment horizontal="center" vertical="center"/>
    </xf>
    <xf numFmtId="0" fontId="20" fillId="7" borderId="36" xfId="20" applyFont="1" applyFill="1" applyBorder="1" applyAlignment="1">
      <alignment horizontal="center"/>
      <protection/>
    </xf>
    <xf numFmtId="0" fontId="20" fillId="7" borderId="37" xfId="20" applyFont="1" applyFill="1" applyBorder="1" applyAlignment="1">
      <alignment horizontal="center"/>
      <protection/>
    </xf>
    <xf numFmtId="0" fontId="20" fillId="7" borderId="38" xfId="20" applyFont="1" applyFill="1" applyBorder="1" applyAlignment="1">
      <alignment horizont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huston\AppData\Local\Microsoft\Windows\Temporary%20Internet%20Files\Content.Outlook\NX040AGB\KKR%20Product%20Examples%20-%20Whole%20Life%201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ykong\AppData\Local\Microsoft\Windows\Temporary%20Internet%20Files\Content.Outlook\3UOR6J9X\2011-04-14%20Term%20Insurance%20v15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i\AppData\Local\Microsoft\Windows\Temporary%20Internet%20Files\Content.Outlook\QEAHKS35\Workshop%2314&amp;48%20IFRS_TenYearTerm_CaseStudy_Participan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L - IS for Slides"/>
      <sheetName val="WL - BS for Slides"/>
      <sheetName val="Whole Life - Control"/>
      <sheetName val="Whole Life - Product Stats"/>
      <sheetName val="Whole Life - Stat"/>
      <sheetName val="Whole Life - GAAP"/>
      <sheetName val="Stat to GAAP rollforward"/>
      <sheetName val="2001 CSO"/>
    </sheetNames>
    <sheetDataSet>
      <sheetData sheetId="0" refreshError="1"/>
      <sheetData sheetId="1" refreshError="1"/>
      <sheetData sheetId="2">
        <row r="6">
          <cell r="C6">
            <v>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Graphs"/>
      <sheetName val="Assumptions"/>
      <sheetName val="Experience"/>
      <sheetName val="GAAP"/>
      <sheetName val="GAAP Lps Down"/>
      <sheetName val="GAAP Lps Up"/>
      <sheetName val="GAAP Mort Up"/>
      <sheetName val="GAAP Mort Down"/>
      <sheetName val="GAAP Rate Down"/>
      <sheetName val="GAAP Rate Up"/>
      <sheetName val="GAAP Exp Down"/>
      <sheetName val="GAAP Exp Up"/>
      <sheetName val="IFRS Lapse Down"/>
      <sheetName val="IFRS Lapse Up"/>
      <sheetName val="IFRS Mort down"/>
      <sheetName val="IFRS Rate Down"/>
      <sheetName val="IFRS Rate Up"/>
      <sheetName val="IFRS Exp Down"/>
      <sheetName val="IFRS Exp Up"/>
      <sheetName val="IFRS Rate and Inv Down"/>
      <sheetName val="IFRS Rate and Inv Up"/>
      <sheetName val="IFRS RM Amort A"/>
      <sheetName val="IFRS RM Amort B"/>
      <sheetName val="IFRS RM Amort C"/>
      <sheetName val="IFRS Base"/>
      <sheetName val="IFRS Mort Up"/>
      <sheetName val="IFRS Shock Abs Prospective"/>
      <sheetName val="IFRS Shock Abs Retrospective"/>
      <sheetName val="IFRS Shock Abs B"/>
      <sheetName val="Stat"/>
      <sheetName val="Stat-Lps Down"/>
      <sheetName val=" Stat-Lps Up"/>
      <sheetName val="Stat - Mort Up"/>
      <sheetName val="Stat - Mort Down"/>
      <sheetName val="Stat Inv Rtn Down"/>
      <sheetName val="Stat Inv Rtn Up"/>
      <sheetName val="Stat Exp Down"/>
      <sheetName val="Stat Exp Up"/>
      <sheetName val="2001 CSO"/>
    </sheetNames>
    <sheetDataSet>
      <sheetData sheetId="0"/>
      <sheetData sheetId="1"/>
      <sheetData sheetId="2"/>
      <sheetData sheetId="3"/>
      <sheetData sheetId="4"/>
      <sheetData sheetId="5">
        <row r="8">
          <cell r="D8">
            <v>223.875</v>
          </cell>
        </row>
      </sheetData>
      <sheetData sheetId="6">
        <row r="8">
          <cell r="D8">
            <v>223.875</v>
          </cell>
        </row>
      </sheetData>
      <sheetData sheetId="7">
        <row r="8">
          <cell r="D8">
            <v>223.875</v>
          </cell>
        </row>
      </sheetData>
      <sheetData sheetId="8">
        <row r="23">
          <cell r="D23">
            <v>7.071132151574943</v>
          </cell>
        </row>
      </sheetData>
      <sheetData sheetId="9">
        <row r="8">
          <cell r="D8">
            <v>223.875</v>
          </cell>
        </row>
      </sheetData>
      <sheetData sheetId="10">
        <row r="8">
          <cell r="D8">
            <v>223.875</v>
          </cell>
        </row>
      </sheetData>
      <sheetData sheetId="11">
        <row r="23">
          <cell r="D23">
            <v>7.071132151574943</v>
          </cell>
        </row>
      </sheetData>
      <sheetData sheetId="12">
        <row r="23">
          <cell r="D23">
            <v>7.071132151574943</v>
          </cell>
        </row>
      </sheetData>
      <sheetData sheetId="13">
        <row r="67">
          <cell r="A67" t="str">
            <v>Change in risk adjustment</v>
          </cell>
        </row>
      </sheetData>
      <sheetData sheetId="14">
        <row r="67">
          <cell r="A67" t="str">
            <v>Change in risk adjustment</v>
          </cell>
        </row>
      </sheetData>
      <sheetData sheetId="15">
        <row r="84">
          <cell r="I84">
            <v>103.98975409262849</v>
          </cell>
        </row>
      </sheetData>
      <sheetData sheetId="16">
        <row r="95">
          <cell r="I95">
            <v>44.28335486739699</v>
          </cell>
        </row>
      </sheetData>
      <sheetData sheetId="17">
        <row r="78">
          <cell r="A78" t="str">
            <v>Change in risk adjustment</v>
          </cell>
        </row>
      </sheetData>
      <sheetData sheetId="18">
        <row r="84">
          <cell r="I84">
            <v>62.11315495482492</v>
          </cell>
        </row>
      </sheetData>
      <sheetData sheetId="19">
        <row r="84">
          <cell r="I84">
            <v>22.00270656364329</v>
          </cell>
        </row>
      </sheetData>
      <sheetData sheetId="20">
        <row r="95">
          <cell r="I95">
            <v>41.070870270294904</v>
          </cell>
        </row>
      </sheetData>
      <sheetData sheetId="21">
        <row r="95">
          <cell r="I95">
            <v>43.04112856560473</v>
          </cell>
        </row>
      </sheetData>
      <sheetData sheetId="22">
        <row r="26">
          <cell r="C26">
            <v>167.94776759747762</v>
          </cell>
        </row>
      </sheetData>
      <sheetData sheetId="23">
        <row r="26">
          <cell r="C26">
            <v>167.94776759747762</v>
          </cell>
        </row>
      </sheetData>
      <sheetData sheetId="24">
        <row r="58">
          <cell r="C58">
            <v>-0.46392986596832486</v>
          </cell>
        </row>
      </sheetData>
      <sheetData sheetId="25"/>
      <sheetData sheetId="26">
        <row r="67">
          <cell r="A67" t="str">
            <v>Change in risk adjustment</v>
          </cell>
        </row>
      </sheetData>
      <sheetData sheetId="27">
        <row r="85">
          <cell r="I85">
            <v>30.860885338467796</v>
          </cell>
        </row>
      </sheetData>
      <sheetData sheetId="28">
        <row r="85">
          <cell r="H85">
            <v>25.159469928527713</v>
          </cell>
        </row>
      </sheetData>
      <sheetData sheetId="29">
        <row r="84">
          <cell r="I84">
            <v>38.337861202585344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3">
          <cell r="B3">
            <v>0</v>
          </cell>
          <cell r="C3">
            <v>0.00072</v>
          </cell>
        </row>
        <row r="4">
          <cell r="B4">
            <v>1</v>
          </cell>
          <cell r="C4">
            <v>0.00046</v>
          </cell>
        </row>
        <row r="5">
          <cell r="B5">
            <v>2</v>
          </cell>
          <cell r="C5">
            <v>0.00033</v>
          </cell>
        </row>
        <row r="6">
          <cell r="B6">
            <v>3</v>
          </cell>
          <cell r="C6">
            <v>0.00024</v>
          </cell>
        </row>
        <row r="7">
          <cell r="B7">
            <v>4</v>
          </cell>
          <cell r="C7">
            <v>0.00021</v>
          </cell>
        </row>
        <row r="8">
          <cell r="B8">
            <v>5</v>
          </cell>
          <cell r="C8">
            <v>0.00021</v>
          </cell>
        </row>
        <row r="9">
          <cell r="B9">
            <v>6</v>
          </cell>
          <cell r="C9">
            <v>0.00022</v>
          </cell>
        </row>
        <row r="10">
          <cell r="B10">
            <v>7</v>
          </cell>
          <cell r="C10">
            <v>0.00022</v>
          </cell>
        </row>
        <row r="11">
          <cell r="B11">
            <v>8</v>
          </cell>
          <cell r="C11">
            <v>0.00022</v>
          </cell>
        </row>
        <row r="12">
          <cell r="B12">
            <v>9</v>
          </cell>
          <cell r="C12">
            <v>0.00023</v>
          </cell>
        </row>
        <row r="13">
          <cell r="B13">
            <v>10</v>
          </cell>
          <cell r="C13">
            <v>0.00024</v>
          </cell>
        </row>
        <row r="14">
          <cell r="B14">
            <v>11</v>
          </cell>
          <cell r="C14">
            <v>0.00028</v>
          </cell>
        </row>
        <row r="15">
          <cell r="B15">
            <v>12</v>
          </cell>
          <cell r="C15">
            <v>0.00034</v>
          </cell>
        </row>
        <row r="16">
          <cell r="B16">
            <v>13</v>
          </cell>
          <cell r="C16">
            <v>0.0004</v>
          </cell>
        </row>
        <row r="17">
          <cell r="B17">
            <v>14</v>
          </cell>
          <cell r="C17">
            <v>0.00052</v>
          </cell>
        </row>
        <row r="18">
          <cell r="B18">
            <v>15</v>
          </cell>
          <cell r="C18">
            <v>0.00066</v>
          </cell>
        </row>
        <row r="19">
          <cell r="B19">
            <v>16</v>
          </cell>
          <cell r="C19">
            <v>0.00078</v>
          </cell>
        </row>
        <row r="20">
          <cell r="B20">
            <v>17</v>
          </cell>
          <cell r="C20">
            <v>0.00089</v>
          </cell>
        </row>
        <row r="21">
          <cell r="B21">
            <v>18</v>
          </cell>
          <cell r="C21">
            <v>0.00095</v>
          </cell>
        </row>
        <row r="22">
          <cell r="B22">
            <v>19</v>
          </cell>
          <cell r="C22">
            <v>0.00098</v>
          </cell>
        </row>
        <row r="23">
          <cell r="B23">
            <v>20</v>
          </cell>
          <cell r="C23">
            <v>0.001</v>
          </cell>
        </row>
        <row r="24">
          <cell r="B24">
            <v>21</v>
          </cell>
          <cell r="C24">
            <v>0.00101</v>
          </cell>
        </row>
        <row r="25">
          <cell r="B25">
            <v>22</v>
          </cell>
          <cell r="C25">
            <v>0.00102</v>
          </cell>
        </row>
        <row r="26">
          <cell r="B26">
            <v>23</v>
          </cell>
          <cell r="C26">
            <v>0.00104</v>
          </cell>
        </row>
        <row r="27">
          <cell r="B27">
            <v>24</v>
          </cell>
          <cell r="C27">
            <v>0.00106</v>
          </cell>
        </row>
        <row r="28">
          <cell r="B28">
            <v>25</v>
          </cell>
          <cell r="C28">
            <v>0.00109</v>
          </cell>
        </row>
        <row r="29">
          <cell r="B29">
            <v>26</v>
          </cell>
          <cell r="C29">
            <v>0.00114</v>
          </cell>
        </row>
        <row r="30">
          <cell r="B30">
            <v>27</v>
          </cell>
          <cell r="C30">
            <v>0.00117</v>
          </cell>
        </row>
        <row r="31">
          <cell r="B31">
            <v>28</v>
          </cell>
          <cell r="C31">
            <v>0.00116</v>
          </cell>
        </row>
        <row r="32">
          <cell r="B32">
            <v>29</v>
          </cell>
          <cell r="C32">
            <v>0.00115</v>
          </cell>
        </row>
        <row r="33">
          <cell r="B33">
            <v>30</v>
          </cell>
          <cell r="C33">
            <v>0.00114</v>
          </cell>
        </row>
        <row r="34">
          <cell r="B34">
            <v>31</v>
          </cell>
          <cell r="C34">
            <v>0.00113</v>
          </cell>
        </row>
        <row r="35">
          <cell r="B35">
            <v>32</v>
          </cell>
          <cell r="C35">
            <v>0.00114</v>
          </cell>
        </row>
        <row r="36">
          <cell r="B36">
            <v>33</v>
          </cell>
          <cell r="C36">
            <v>0.00116</v>
          </cell>
        </row>
        <row r="37">
          <cell r="B37">
            <v>34</v>
          </cell>
          <cell r="C37">
            <v>0.00119</v>
          </cell>
        </row>
        <row r="38">
          <cell r="B38">
            <v>35</v>
          </cell>
          <cell r="C38">
            <v>0.00124</v>
          </cell>
        </row>
        <row r="39">
          <cell r="B39">
            <v>36</v>
          </cell>
          <cell r="C39">
            <v>0.00131</v>
          </cell>
        </row>
        <row r="40">
          <cell r="B40">
            <v>37</v>
          </cell>
          <cell r="C40">
            <v>0.00139</v>
          </cell>
        </row>
        <row r="41">
          <cell r="B41">
            <v>38</v>
          </cell>
          <cell r="C41">
            <v>0.00149</v>
          </cell>
        </row>
        <row r="42">
          <cell r="B42">
            <v>39</v>
          </cell>
          <cell r="C42">
            <v>0.00159</v>
          </cell>
        </row>
        <row r="43">
          <cell r="B43">
            <v>40</v>
          </cell>
          <cell r="C43">
            <v>0.00172</v>
          </cell>
        </row>
        <row r="44">
          <cell r="B44">
            <v>41</v>
          </cell>
          <cell r="C44">
            <v>0.00187</v>
          </cell>
        </row>
        <row r="45">
          <cell r="B45">
            <v>42</v>
          </cell>
          <cell r="C45">
            <v>0.00205</v>
          </cell>
        </row>
        <row r="46">
          <cell r="B46">
            <v>43</v>
          </cell>
          <cell r="C46">
            <v>0.00227</v>
          </cell>
        </row>
        <row r="47">
          <cell r="B47">
            <v>44</v>
          </cell>
          <cell r="C47">
            <v>0.00252</v>
          </cell>
        </row>
        <row r="48">
          <cell r="B48">
            <v>45</v>
          </cell>
          <cell r="C48">
            <v>0.00277</v>
          </cell>
        </row>
        <row r="49">
          <cell r="B49">
            <v>46</v>
          </cell>
          <cell r="C49">
            <v>0.00303</v>
          </cell>
        </row>
        <row r="50">
          <cell r="B50">
            <v>47</v>
          </cell>
          <cell r="C50">
            <v>0.00325</v>
          </cell>
        </row>
        <row r="51">
          <cell r="B51">
            <v>48</v>
          </cell>
          <cell r="C51">
            <v>0.00342</v>
          </cell>
        </row>
        <row r="52">
          <cell r="B52">
            <v>49</v>
          </cell>
          <cell r="C52">
            <v>0.00364</v>
          </cell>
        </row>
        <row r="53">
          <cell r="B53">
            <v>50</v>
          </cell>
          <cell r="C53">
            <v>0.00391</v>
          </cell>
        </row>
        <row r="54">
          <cell r="B54">
            <v>51</v>
          </cell>
          <cell r="C54">
            <v>0.00426</v>
          </cell>
        </row>
        <row r="55">
          <cell r="B55">
            <v>52</v>
          </cell>
          <cell r="C55">
            <v>0.0047</v>
          </cell>
        </row>
        <row r="56">
          <cell r="B56">
            <v>53</v>
          </cell>
          <cell r="C56">
            <v>0.00521</v>
          </cell>
        </row>
        <row r="57">
          <cell r="B57">
            <v>54</v>
          </cell>
          <cell r="C57">
            <v>0.00583</v>
          </cell>
        </row>
        <row r="58">
          <cell r="B58">
            <v>55</v>
          </cell>
          <cell r="C58">
            <v>0.00652</v>
          </cell>
        </row>
        <row r="59">
          <cell r="B59">
            <v>56</v>
          </cell>
          <cell r="C59">
            <v>0.00726</v>
          </cell>
        </row>
        <row r="60">
          <cell r="B60">
            <v>57</v>
          </cell>
          <cell r="C60">
            <v>0.00795</v>
          </cell>
        </row>
        <row r="61">
          <cell r="B61">
            <v>58</v>
          </cell>
          <cell r="C61">
            <v>0.00863</v>
          </cell>
        </row>
        <row r="62">
          <cell r="B62">
            <v>59</v>
          </cell>
          <cell r="C62">
            <v>0.00942</v>
          </cell>
        </row>
        <row r="63">
          <cell r="B63">
            <v>60</v>
          </cell>
          <cell r="C63">
            <v>0.0104</v>
          </cell>
        </row>
        <row r="64">
          <cell r="B64">
            <v>61</v>
          </cell>
          <cell r="C64">
            <v>0.01159</v>
          </cell>
        </row>
        <row r="65">
          <cell r="B65">
            <v>62</v>
          </cell>
          <cell r="C65">
            <v>0.01298</v>
          </cell>
        </row>
        <row r="66">
          <cell r="B66">
            <v>63</v>
          </cell>
          <cell r="C66">
            <v>0.01447</v>
          </cell>
        </row>
        <row r="67">
          <cell r="B67">
            <v>64</v>
          </cell>
          <cell r="C67">
            <v>0.01604</v>
          </cell>
        </row>
        <row r="68">
          <cell r="B68">
            <v>65</v>
          </cell>
          <cell r="C68">
            <v>0.01765</v>
          </cell>
        </row>
        <row r="69">
          <cell r="B69">
            <v>66</v>
          </cell>
          <cell r="C69">
            <v>0.01927</v>
          </cell>
        </row>
        <row r="70">
          <cell r="B70">
            <v>67</v>
          </cell>
          <cell r="C70">
            <v>0.02096</v>
          </cell>
        </row>
        <row r="71">
          <cell r="B71">
            <v>68</v>
          </cell>
          <cell r="C71">
            <v>0.02274</v>
          </cell>
        </row>
        <row r="72">
          <cell r="B72">
            <v>69</v>
          </cell>
          <cell r="C72">
            <v>0.02469</v>
          </cell>
        </row>
        <row r="73">
          <cell r="B73">
            <v>70</v>
          </cell>
          <cell r="C73">
            <v>0.02694</v>
          </cell>
        </row>
        <row r="74">
          <cell r="B74">
            <v>71</v>
          </cell>
          <cell r="C74">
            <v>0.02971</v>
          </cell>
        </row>
        <row r="75">
          <cell r="B75">
            <v>72</v>
          </cell>
          <cell r="C75">
            <v>0.03294</v>
          </cell>
        </row>
        <row r="76">
          <cell r="B76">
            <v>73</v>
          </cell>
          <cell r="C76">
            <v>0.03632</v>
          </cell>
        </row>
        <row r="77">
          <cell r="B77">
            <v>74</v>
          </cell>
          <cell r="C77">
            <v>0.03996</v>
          </cell>
        </row>
        <row r="78">
          <cell r="B78">
            <v>75</v>
          </cell>
          <cell r="C78">
            <v>0.04395</v>
          </cell>
        </row>
        <row r="79">
          <cell r="B79">
            <v>76</v>
          </cell>
          <cell r="C79">
            <v>0.04844</v>
          </cell>
        </row>
        <row r="80">
          <cell r="B80">
            <v>77</v>
          </cell>
          <cell r="C80">
            <v>0.05367</v>
          </cell>
        </row>
        <row r="81">
          <cell r="B81">
            <v>78</v>
          </cell>
          <cell r="C81">
            <v>0.05972</v>
          </cell>
        </row>
        <row r="82">
          <cell r="B82">
            <v>79</v>
          </cell>
          <cell r="C82">
            <v>0.06648</v>
          </cell>
        </row>
        <row r="83">
          <cell r="B83">
            <v>80</v>
          </cell>
          <cell r="C83">
            <v>0.07402</v>
          </cell>
        </row>
        <row r="84">
          <cell r="B84">
            <v>81</v>
          </cell>
          <cell r="C84">
            <v>0.0822</v>
          </cell>
        </row>
        <row r="85">
          <cell r="B85">
            <v>82</v>
          </cell>
          <cell r="C85">
            <v>0.09082</v>
          </cell>
        </row>
        <row r="86">
          <cell r="B86">
            <v>83</v>
          </cell>
          <cell r="C86">
            <v>0.10022</v>
          </cell>
        </row>
        <row r="87">
          <cell r="B87">
            <v>84</v>
          </cell>
          <cell r="C87">
            <v>0.11069</v>
          </cell>
        </row>
        <row r="88">
          <cell r="B88">
            <v>85</v>
          </cell>
          <cell r="C88">
            <v>0.12236</v>
          </cell>
        </row>
        <row r="89">
          <cell r="B89">
            <v>86</v>
          </cell>
          <cell r="C89">
            <v>0.13517</v>
          </cell>
        </row>
        <row r="90">
          <cell r="B90">
            <v>87</v>
          </cell>
          <cell r="C90">
            <v>0.14899</v>
          </cell>
        </row>
        <row r="91">
          <cell r="B91">
            <v>88</v>
          </cell>
          <cell r="C91">
            <v>0.16366</v>
          </cell>
        </row>
        <row r="92">
          <cell r="B92">
            <v>89</v>
          </cell>
          <cell r="C92">
            <v>0.17903</v>
          </cell>
        </row>
        <row r="93">
          <cell r="B93">
            <v>90</v>
          </cell>
          <cell r="C93">
            <v>0.19428</v>
          </cell>
        </row>
        <row r="94">
          <cell r="B94">
            <v>91</v>
          </cell>
          <cell r="C94">
            <v>0.20927</v>
          </cell>
        </row>
        <row r="95">
          <cell r="B95">
            <v>92</v>
          </cell>
          <cell r="C95">
            <v>0.22494</v>
          </cell>
        </row>
        <row r="96">
          <cell r="B96">
            <v>93</v>
          </cell>
          <cell r="C96">
            <v>0.24146</v>
          </cell>
        </row>
        <row r="97">
          <cell r="B97">
            <v>94</v>
          </cell>
          <cell r="C97">
            <v>0.25886</v>
          </cell>
        </row>
        <row r="98">
          <cell r="B98">
            <v>95</v>
          </cell>
          <cell r="C98">
            <v>0.27612</v>
          </cell>
        </row>
        <row r="99">
          <cell r="B99">
            <v>96</v>
          </cell>
          <cell r="C99">
            <v>0.29295</v>
          </cell>
        </row>
        <row r="100">
          <cell r="B100">
            <v>97</v>
          </cell>
          <cell r="C100">
            <v>0.31086</v>
          </cell>
        </row>
        <row r="101">
          <cell r="B101">
            <v>98</v>
          </cell>
          <cell r="C101">
            <v>0.32995</v>
          </cell>
        </row>
        <row r="102">
          <cell r="B102">
            <v>99</v>
          </cell>
          <cell r="C102">
            <v>0.35032</v>
          </cell>
        </row>
        <row r="103">
          <cell r="B103">
            <v>100</v>
          </cell>
          <cell r="C103">
            <v>0.36976</v>
          </cell>
        </row>
        <row r="104">
          <cell r="B104">
            <v>101</v>
          </cell>
          <cell r="C104">
            <v>0.38696</v>
          </cell>
        </row>
        <row r="105">
          <cell r="B105">
            <v>102</v>
          </cell>
          <cell r="C105">
            <v>0.40525</v>
          </cell>
        </row>
        <row r="106">
          <cell r="B106">
            <v>103</v>
          </cell>
          <cell r="C106">
            <v>0.4247</v>
          </cell>
        </row>
        <row r="107">
          <cell r="B107">
            <v>104</v>
          </cell>
          <cell r="C107">
            <v>0.44535</v>
          </cell>
        </row>
        <row r="108">
          <cell r="B108">
            <v>105</v>
          </cell>
          <cell r="C108">
            <v>0.46729</v>
          </cell>
        </row>
        <row r="109">
          <cell r="B109">
            <v>106</v>
          </cell>
          <cell r="C109">
            <v>0.49057</v>
          </cell>
        </row>
        <row r="110">
          <cell r="B110">
            <v>107</v>
          </cell>
          <cell r="C110">
            <v>0.51528</v>
          </cell>
        </row>
        <row r="111">
          <cell r="B111">
            <v>108</v>
          </cell>
          <cell r="C111">
            <v>0.54149</v>
          </cell>
        </row>
        <row r="112">
          <cell r="B112">
            <v>109</v>
          </cell>
          <cell r="C112">
            <v>0.56927</v>
          </cell>
        </row>
        <row r="113">
          <cell r="B113">
            <v>110</v>
          </cell>
          <cell r="C113">
            <v>0.5987</v>
          </cell>
        </row>
        <row r="114">
          <cell r="B114">
            <v>111</v>
          </cell>
          <cell r="C114">
            <v>0.62988</v>
          </cell>
        </row>
        <row r="115">
          <cell r="B115">
            <v>112</v>
          </cell>
          <cell r="C115">
            <v>0.66287</v>
          </cell>
        </row>
        <row r="116">
          <cell r="B116">
            <v>113</v>
          </cell>
          <cell r="C116">
            <v>0.69778</v>
          </cell>
        </row>
        <row r="117">
          <cell r="B117">
            <v>114</v>
          </cell>
          <cell r="C117">
            <v>0.73468</v>
          </cell>
        </row>
        <row r="118">
          <cell r="B118">
            <v>115</v>
          </cell>
          <cell r="C118">
            <v>0.77366</v>
          </cell>
        </row>
        <row r="119">
          <cell r="B119">
            <v>116</v>
          </cell>
          <cell r="C119">
            <v>0.81478</v>
          </cell>
        </row>
        <row r="120">
          <cell r="B120">
            <v>117</v>
          </cell>
          <cell r="C120">
            <v>0.85815</v>
          </cell>
        </row>
        <row r="121">
          <cell r="B121">
            <v>118</v>
          </cell>
          <cell r="C121">
            <v>0.90381</v>
          </cell>
        </row>
        <row r="122">
          <cell r="B122">
            <v>119</v>
          </cell>
          <cell r="C122">
            <v>0.95167</v>
          </cell>
        </row>
        <row r="123">
          <cell r="B123">
            <v>120</v>
          </cell>
          <cell r="C12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Assumptions"/>
      <sheetName val="GAAP"/>
      <sheetName val="Balance Sheet"/>
      <sheetName val="Balance Sheet -Loss at issue"/>
      <sheetName val="IS"/>
      <sheetName val="IS_Loss at issue"/>
      <sheetName val="Stat"/>
      <sheetName val="2001 CS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4">
          <cell r="D4">
            <v>1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tabSelected="1" zoomScaleSheetLayoutView="100" workbookViewId="0" topLeftCell="A1">
      <pane xSplit="2" ySplit="3" topLeftCell="C4" activePane="bottomRight" state="frozen"/>
      <selection pane="topLeft" activeCell="E65" sqref="E65"/>
      <selection pane="topRight" activeCell="E65" sqref="E65"/>
      <selection pane="bottomLeft" activeCell="E65" sqref="E65"/>
      <selection pane="bottomRight" activeCell="E1" sqref="E1:F1"/>
    </sheetView>
  </sheetViews>
  <sheetFormatPr defaultColWidth="9.140625" defaultRowHeight="15"/>
  <cols>
    <col min="1" max="1" width="2.7109375" style="3" customWidth="1"/>
    <col min="2" max="2" width="33.57421875" style="3" customWidth="1"/>
    <col min="3" max="4" width="10.8515625" style="2" bestFit="1" customWidth="1"/>
    <col min="5" max="12" width="10.57421875" style="3" bestFit="1" customWidth="1"/>
    <col min="13" max="13" width="2.7109375" style="3" customWidth="1"/>
    <col min="14" max="17" width="9.140625" style="3" customWidth="1"/>
    <col min="18" max="18" width="2.57421875" style="3" customWidth="1"/>
    <col min="19" max="16384" width="9.140625" style="3" customWidth="1"/>
  </cols>
  <sheetData>
    <row r="1" spans="2:6" ht="21.75" customHeight="1">
      <c r="B1" s="1" t="s">
        <v>0</v>
      </c>
      <c r="E1" s="133" t="s">
        <v>104</v>
      </c>
      <c r="F1" s="133"/>
    </row>
    <row r="2" spans="2:12" ht="21" customHeight="1">
      <c r="B2" s="4" t="s">
        <v>1</v>
      </c>
      <c r="C2" s="5"/>
      <c r="D2" s="5"/>
      <c r="E2" s="6"/>
      <c r="F2" s="7"/>
      <c r="G2" s="7"/>
      <c r="H2" s="8"/>
      <c r="I2" s="8"/>
      <c r="J2" s="8"/>
      <c r="K2" s="8"/>
      <c r="L2" s="8"/>
    </row>
    <row r="3" spans="2:14" ht="16.5" customHeight="1">
      <c r="B3" s="9" t="s">
        <v>2</v>
      </c>
      <c r="C3" s="10">
        <v>1</v>
      </c>
      <c r="D3" s="10">
        <f>C3+1</f>
        <v>2</v>
      </c>
      <c r="E3" s="10">
        <f aca="true" t="shared" si="0" ref="E3:L3">D3+1</f>
        <v>3</v>
      </c>
      <c r="F3" s="10">
        <f t="shared" si="0"/>
        <v>4</v>
      </c>
      <c r="G3" s="10">
        <f t="shared" si="0"/>
        <v>5</v>
      </c>
      <c r="H3" s="10">
        <f t="shared" si="0"/>
        <v>6</v>
      </c>
      <c r="I3" s="10">
        <f t="shared" si="0"/>
        <v>7</v>
      </c>
      <c r="J3" s="10">
        <f t="shared" si="0"/>
        <v>8</v>
      </c>
      <c r="K3" s="10">
        <f t="shared" si="0"/>
        <v>9</v>
      </c>
      <c r="L3" s="10">
        <f t="shared" si="0"/>
        <v>10</v>
      </c>
      <c r="M3" s="11"/>
      <c r="N3" s="12" t="s">
        <v>3</v>
      </c>
    </row>
    <row r="4" spans="2:17" ht="18.75">
      <c r="B4" s="12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2"/>
      <c r="N4" s="14" t="s">
        <v>89</v>
      </c>
      <c r="O4" s="15"/>
      <c r="P4" s="15"/>
      <c r="Q4" s="16"/>
    </row>
    <row r="5" spans="2:17" ht="15.75">
      <c r="B5" s="17" t="s">
        <v>5</v>
      </c>
      <c r="C5" s="18">
        <v>45</v>
      </c>
      <c r="D5" s="18"/>
      <c r="E5" s="15"/>
      <c r="F5" s="15"/>
      <c r="G5" s="18"/>
      <c r="H5" s="18"/>
      <c r="I5" s="15"/>
      <c r="J5" s="15"/>
      <c r="K5" s="15"/>
      <c r="L5" s="16"/>
      <c r="N5" s="122" t="s">
        <v>86</v>
      </c>
      <c r="O5" s="121"/>
      <c r="P5" s="121"/>
      <c r="Q5" s="20"/>
    </row>
    <row r="6" spans="2:17" ht="15.75">
      <c r="B6" s="21" t="s">
        <v>6</v>
      </c>
      <c r="C6" s="13">
        <v>10</v>
      </c>
      <c r="D6" s="13"/>
      <c r="E6" s="13"/>
      <c r="F6" s="13"/>
      <c r="G6" s="13"/>
      <c r="H6" s="13"/>
      <c r="I6" s="13"/>
      <c r="J6" s="13"/>
      <c r="K6" s="13"/>
      <c r="L6" s="22"/>
      <c r="M6" s="2"/>
      <c r="N6" s="122" t="s">
        <v>95</v>
      </c>
      <c r="O6" s="121"/>
      <c r="P6" s="121"/>
      <c r="Q6" s="20"/>
    </row>
    <row r="7" spans="2:17" ht="18">
      <c r="B7" s="21" t="s">
        <v>7</v>
      </c>
      <c r="C7" s="23" t="s">
        <v>8</v>
      </c>
      <c r="D7" s="13"/>
      <c r="E7" s="13"/>
      <c r="F7" s="13"/>
      <c r="G7" s="13"/>
      <c r="H7" s="13"/>
      <c r="I7" s="13"/>
      <c r="J7" s="13"/>
      <c r="K7" s="13"/>
      <c r="L7" s="22"/>
      <c r="M7" s="2"/>
      <c r="N7" s="19">
        <v>0.0018</v>
      </c>
      <c r="O7" s="8" t="s">
        <v>87</v>
      </c>
      <c r="P7" s="8"/>
      <c r="Q7" s="20"/>
    </row>
    <row r="8" spans="2:17" ht="15" customHeight="1">
      <c r="B8" s="21" t="s">
        <v>9</v>
      </c>
      <c r="C8" s="24">
        <v>4.5</v>
      </c>
      <c r="D8" s="24">
        <f>C8</f>
        <v>4.5</v>
      </c>
      <c r="E8" s="24">
        <f aca="true" t="shared" si="1" ref="E8:L8">D8</f>
        <v>4.5</v>
      </c>
      <c r="F8" s="24">
        <f t="shared" si="1"/>
        <v>4.5</v>
      </c>
      <c r="G8" s="24">
        <f t="shared" si="1"/>
        <v>4.5</v>
      </c>
      <c r="H8" s="24">
        <f t="shared" si="1"/>
        <v>4.5</v>
      </c>
      <c r="I8" s="24">
        <f t="shared" si="1"/>
        <v>4.5</v>
      </c>
      <c r="J8" s="24">
        <f t="shared" si="1"/>
        <v>4.5</v>
      </c>
      <c r="K8" s="24">
        <f t="shared" si="1"/>
        <v>4.5</v>
      </c>
      <c r="L8" s="25">
        <f t="shared" si="1"/>
        <v>4.5</v>
      </c>
      <c r="M8" s="2"/>
      <c r="N8" s="19">
        <v>0.0616</v>
      </c>
      <c r="O8" s="8" t="s">
        <v>88</v>
      </c>
      <c r="P8" s="8"/>
      <c r="Q8" s="20"/>
    </row>
    <row r="9" spans="2:17" ht="18">
      <c r="B9" s="21" t="s">
        <v>11</v>
      </c>
      <c r="C9" s="13">
        <v>50000</v>
      </c>
      <c r="D9" s="13"/>
      <c r="E9" s="8"/>
      <c r="F9" s="8"/>
      <c r="G9" s="8"/>
      <c r="H9" s="8"/>
      <c r="I9" s="8"/>
      <c r="J9" s="8"/>
      <c r="K9" s="8"/>
      <c r="L9" s="20"/>
      <c r="N9" s="123" t="s">
        <v>94</v>
      </c>
      <c r="O9" s="8"/>
      <c r="P9" s="8"/>
      <c r="Q9" s="20"/>
    </row>
    <row r="10" spans="2:17" ht="15">
      <c r="B10" s="27" t="s">
        <v>13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30"/>
      <c r="N10" s="44">
        <v>0.06</v>
      </c>
      <c r="O10" s="135"/>
      <c r="P10" s="135"/>
      <c r="Q10" s="136"/>
    </row>
    <row r="11" spans="2:17" ht="15">
      <c r="B11" s="8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2"/>
      <c r="N11" s="27"/>
      <c r="O11" s="137"/>
      <c r="P11" s="137"/>
      <c r="Q11" s="138"/>
    </row>
    <row r="12" spans="2:17" ht="18.75">
      <c r="B12" s="12" t="s">
        <v>14</v>
      </c>
      <c r="C12" s="13"/>
      <c r="D12" s="13"/>
      <c r="E12" s="8"/>
      <c r="F12" s="8"/>
      <c r="G12" s="8"/>
      <c r="H12" s="8"/>
      <c r="I12" s="8"/>
      <c r="J12" s="8"/>
      <c r="K12" s="8"/>
      <c r="L12" s="8"/>
      <c r="N12" s="17"/>
      <c r="O12" s="15"/>
      <c r="P12" s="15"/>
      <c r="Q12" s="16"/>
    </row>
    <row r="13" spans="2:17" ht="15">
      <c r="B13" s="17"/>
      <c r="C13" s="33"/>
      <c r="D13" s="15"/>
      <c r="E13" s="15"/>
      <c r="F13" s="33"/>
      <c r="G13" s="33"/>
      <c r="H13" s="33"/>
      <c r="I13" s="33"/>
      <c r="J13" s="33"/>
      <c r="K13" s="33"/>
      <c r="L13" s="34"/>
      <c r="M13" s="35"/>
      <c r="N13" s="26" t="s">
        <v>10</v>
      </c>
      <c r="O13" s="8"/>
      <c r="P13" s="8"/>
      <c r="Q13" s="20"/>
    </row>
    <row r="14" spans="2:17" ht="15">
      <c r="B14" s="21" t="s">
        <v>17</v>
      </c>
      <c r="C14" s="36">
        <v>0.75</v>
      </c>
      <c r="D14" s="13"/>
      <c r="E14" s="8"/>
      <c r="F14" s="8"/>
      <c r="G14" s="8"/>
      <c r="H14" s="8"/>
      <c r="I14" s="8"/>
      <c r="J14" s="8"/>
      <c r="K14" s="8"/>
      <c r="L14" s="20"/>
      <c r="N14" s="134" t="s">
        <v>12</v>
      </c>
      <c r="O14" s="135"/>
      <c r="P14" s="135"/>
      <c r="Q14" s="136"/>
    </row>
    <row r="15" spans="2:17" ht="15">
      <c r="B15" s="21" t="s">
        <v>18</v>
      </c>
      <c r="C15" s="37">
        <f>IF(IssAge+C3-1&gt;=120,1,VLOOKUP(IssAge+C3-1,'2001 CSO'!$B$4:$C$124,2)*BestEstMortPerc)</f>
        <v>0.0020775</v>
      </c>
      <c r="D15" s="37">
        <f>IF(IssAge+D3-1&gt;=120,1,VLOOKUP(IssAge+D3-1,'2001 CSO'!$B$4:$C$124,2)*BestEstMortPerc)</f>
        <v>0.0022725</v>
      </c>
      <c r="E15" s="37">
        <f>IF(IssAge+E3-1&gt;=120,1,VLOOKUP(IssAge+E3-1,'2001 CSO'!$B$4:$C$124,2)*BestEstMortPerc)</f>
        <v>0.0024375</v>
      </c>
      <c r="F15" s="37">
        <f>IF(IssAge+F3-1&gt;=120,1,VLOOKUP(IssAge+F3-1,'2001 CSO'!$B$4:$C$124,2)*BestEstMortPerc)</f>
        <v>0.002565</v>
      </c>
      <c r="G15" s="37">
        <f>IF(IssAge+G3-1&gt;=120,1,VLOOKUP(IssAge+G3-1,'2001 CSO'!$B$4:$C$124,2)*BestEstMortPerc)</f>
        <v>0.00273</v>
      </c>
      <c r="H15" s="37">
        <f>IF(IssAge+H3-1&gt;=120,1,VLOOKUP(IssAge+H3-1,'2001 CSO'!$B$4:$C$124,2)*BestEstMortPerc)</f>
        <v>0.0029325</v>
      </c>
      <c r="I15" s="37">
        <f>IF(IssAge+I3-1&gt;=120,1,VLOOKUP(IssAge+I3-1,'2001 CSO'!$B$4:$C$124,2)*BestEstMortPerc)</f>
        <v>0.003195</v>
      </c>
      <c r="J15" s="37">
        <f>IF(IssAge+J3-1&gt;=120,1,VLOOKUP(IssAge+J3-1,'2001 CSO'!$B$4:$C$124,2)*BestEstMortPerc)</f>
        <v>0.0035250000000000004</v>
      </c>
      <c r="K15" s="37">
        <f>IF(IssAge+K3-1&gt;=120,1,VLOOKUP(IssAge+K3-1,'2001 CSO'!$B$4:$C$124,2)*BestEstMortPerc)</f>
        <v>0.0039075</v>
      </c>
      <c r="L15" s="38">
        <f>IF(IssAge+L3-1&gt;=120,1,VLOOKUP(IssAge+L3-1,'2001 CSO'!$B$4:$C$124,2)*BestEstMortPerc)</f>
        <v>0.0043725</v>
      </c>
      <c r="M15" s="39"/>
      <c r="N15" s="134"/>
      <c r="O15" s="135"/>
      <c r="P15" s="135"/>
      <c r="Q15" s="136"/>
    </row>
    <row r="16" spans="2:17" ht="15">
      <c r="B16" s="21" t="s">
        <v>20</v>
      </c>
      <c r="C16" s="37">
        <v>0.05</v>
      </c>
      <c r="D16" s="37">
        <v>0.05</v>
      </c>
      <c r="E16" s="37">
        <v>0.05</v>
      </c>
      <c r="F16" s="37">
        <v>0.05</v>
      </c>
      <c r="G16" s="37">
        <v>0.05</v>
      </c>
      <c r="H16" s="37">
        <v>0.05</v>
      </c>
      <c r="I16" s="37">
        <v>0.05</v>
      </c>
      <c r="J16" s="37">
        <v>0.05</v>
      </c>
      <c r="K16" s="37">
        <v>0.05</v>
      </c>
      <c r="L16" s="38">
        <v>1</v>
      </c>
      <c r="M16" s="39"/>
      <c r="N16" s="134"/>
      <c r="O16" s="135"/>
      <c r="P16" s="135"/>
      <c r="Q16" s="136"/>
    </row>
    <row r="17" spans="2:17" ht="15">
      <c r="B17" s="21" t="s">
        <v>21</v>
      </c>
      <c r="C17" s="40">
        <v>0.75</v>
      </c>
      <c r="D17" s="40">
        <v>0.05</v>
      </c>
      <c r="E17" s="41">
        <v>0.05</v>
      </c>
      <c r="F17" s="41">
        <v>0.05</v>
      </c>
      <c r="G17" s="41">
        <v>0.05</v>
      </c>
      <c r="H17" s="41">
        <v>0.05</v>
      </c>
      <c r="I17" s="41">
        <v>0.05</v>
      </c>
      <c r="J17" s="41">
        <v>0.05</v>
      </c>
      <c r="K17" s="41">
        <v>0.05</v>
      </c>
      <c r="L17" s="42">
        <v>0.05</v>
      </c>
      <c r="M17" s="43"/>
      <c r="N17" s="31" t="s">
        <v>15</v>
      </c>
      <c r="O17" s="8"/>
      <c r="P17" s="32">
        <v>0.0228</v>
      </c>
      <c r="Q17" s="20"/>
    </row>
    <row r="18" spans="2:17" ht="14.25" customHeight="1">
      <c r="B18" s="21" t="s">
        <v>22</v>
      </c>
      <c r="C18" s="13">
        <v>75</v>
      </c>
      <c r="D18" s="13" t="s">
        <v>103</v>
      </c>
      <c r="E18" s="13"/>
      <c r="F18" s="13"/>
      <c r="G18" s="13"/>
      <c r="H18" s="13"/>
      <c r="I18" s="13"/>
      <c r="J18" s="13"/>
      <c r="K18" s="13"/>
      <c r="L18" s="22"/>
      <c r="M18" s="2"/>
      <c r="N18" s="31" t="s">
        <v>16</v>
      </c>
      <c r="O18" s="8"/>
      <c r="P18" s="32">
        <v>0.0037</v>
      </c>
      <c r="Q18" s="20"/>
    </row>
    <row r="19" spans="2:17" ht="15">
      <c r="B19" s="21" t="s">
        <v>23</v>
      </c>
      <c r="C19" s="13">
        <v>10</v>
      </c>
      <c r="D19" s="8"/>
      <c r="E19" s="8"/>
      <c r="F19" s="8"/>
      <c r="G19" s="8"/>
      <c r="H19" s="8"/>
      <c r="I19" s="8"/>
      <c r="J19" s="8"/>
      <c r="K19" s="8"/>
      <c r="L19" s="20"/>
      <c r="N19" s="21" t="s">
        <v>90</v>
      </c>
      <c r="O19" s="8"/>
      <c r="P19" s="32">
        <v>0.015</v>
      </c>
      <c r="Q19" s="20"/>
    </row>
    <row r="20" spans="2:17" ht="15">
      <c r="B20" s="21" t="s">
        <v>24</v>
      </c>
      <c r="C20" s="45">
        <v>0.03</v>
      </c>
      <c r="D20" s="13"/>
      <c r="E20" s="8"/>
      <c r="F20" s="8"/>
      <c r="G20" s="8"/>
      <c r="H20" s="8"/>
      <c r="I20" s="8"/>
      <c r="J20" s="8"/>
      <c r="K20" s="8"/>
      <c r="L20" s="20"/>
      <c r="N20" s="21" t="s">
        <v>91</v>
      </c>
      <c r="O20" s="8"/>
      <c r="P20" s="41">
        <v>0.08</v>
      </c>
      <c r="Q20" s="20"/>
    </row>
    <row r="21" spans="2:17" ht="15">
      <c r="B21" s="27" t="s">
        <v>25</v>
      </c>
      <c r="C21" s="46">
        <v>0.35</v>
      </c>
      <c r="D21" s="46"/>
      <c r="E21" s="47"/>
      <c r="F21" s="47"/>
      <c r="G21" s="47"/>
      <c r="H21" s="47"/>
      <c r="I21" s="47"/>
      <c r="J21" s="47"/>
      <c r="K21" s="47"/>
      <c r="L21" s="48"/>
      <c r="N21" s="124" t="s">
        <v>19</v>
      </c>
      <c r="O21" s="47"/>
      <c r="P21" s="125"/>
      <c r="Q21" s="48"/>
    </row>
    <row r="23" ht="18.75" hidden="1">
      <c r="A23" s="49" t="s">
        <v>26</v>
      </c>
    </row>
    <row r="24" spans="2:13" ht="15" hidden="1">
      <c r="B24" s="3" t="s">
        <v>27</v>
      </c>
      <c r="C24" s="2">
        <f aca="true" t="shared" si="2" ref="C24:L24">IF(C3&gt;Term,MIN(C8*2,AVERAGE(C8,1000)),C8)</f>
        <v>4.5</v>
      </c>
      <c r="D24" s="2">
        <f t="shared" si="2"/>
        <v>4.5</v>
      </c>
      <c r="E24" s="2">
        <f t="shared" si="2"/>
        <v>4.5</v>
      </c>
      <c r="F24" s="2">
        <f t="shared" si="2"/>
        <v>4.5</v>
      </c>
      <c r="G24" s="2">
        <f t="shared" si="2"/>
        <v>4.5</v>
      </c>
      <c r="H24" s="2">
        <f t="shared" si="2"/>
        <v>4.5</v>
      </c>
      <c r="I24" s="2">
        <f t="shared" si="2"/>
        <v>4.5</v>
      </c>
      <c r="J24" s="2">
        <f t="shared" si="2"/>
        <v>4.5</v>
      </c>
      <c r="K24" s="2">
        <f t="shared" si="2"/>
        <v>4.5</v>
      </c>
      <c r="L24" s="2">
        <f t="shared" si="2"/>
        <v>4.5</v>
      </c>
      <c r="M24" s="2"/>
    </row>
    <row r="25" spans="2:3" ht="15" hidden="1">
      <c r="B25" s="3" t="s">
        <v>28</v>
      </c>
      <c r="C25" s="35">
        <v>0.04</v>
      </c>
    </row>
    <row r="26" spans="2:13" ht="15" hidden="1">
      <c r="B26" s="3" t="s">
        <v>18</v>
      </c>
      <c r="C26" s="39">
        <f>IF(IssAge+C3-1&gt;=120,1,VLOOKUP(IssAge+C3-1,'2001 CSO'!$B$4:$C$124,2))</f>
        <v>0.00277</v>
      </c>
      <c r="D26" s="39">
        <f>IF(IssAge+D3-1&gt;=120,1,VLOOKUP(IssAge+D3-1,'2001 CSO'!$B$4:$C$124,2))</f>
        <v>0.00303</v>
      </c>
      <c r="E26" s="39">
        <f>IF(IssAge+E3-1&gt;=120,1,VLOOKUP(IssAge+E3-1,'2001 CSO'!$B$4:$C$124,2))</f>
        <v>0.00325</v>
      </c>
      <c r="F26" s="39">
        <f>IF(IssAge+F3-1&gt;=120,1,VLOOKUP(IssAge+F3-1,'2001 CSO'!$B$4:$C$124,2))</f>
        <v>0.00342</v>
      </c>
      <c r="G26" s="39">
        <f>IF(IssAge+G3-1&gt;=120,1,VLOOKUP(IssAge+G3-1,'2001 CSO'!$B$4:$C$124,2))</f>
        <v>0.00364</v>
      </c>
      <c r="H26" s="39">
        <f>IF(IssAge+H3-1&gt;=120,1,VLOOKUP(IssAge+H3-1,'2001 CSO'!$B$4:$C$124,2))</f>
        <v>0.00391</v>
      </c>
      <c r="I26" s="39">
        <f>IF(IssAge+I3-1&gt;=120,1,VLOOKUP(IssAge+I3-1,'2001 CSO'!$B$4:$C$124,2))</f>
        <v>0.00426</v>
      </c>
      <c r="J26" s="39">
        <f>IF(IssAge+J3-1&gt;=120,1,VLOOKUP(IssAge+J3-1,'2001 CSO'!$B$4:$C$124,2))</f>
        <v>0.0047</v>
      </c>
      <c r="K26" s="39">
        <f>IF(IssAge+K3-1&gt;=120,1,VLOOKUP(IssAge+K3-1,'2001 CSO'!$B$4:$C$124,2))</f>
        <v>0.00521</v>
      </c>
      <c r="L26" s="39">
        <f>IF(IssAge+L3-1&gt;=120,1,VLOOKUP(IssAge+L3-1,'2001 CSO'!$B$4:$C$124,2))</f>
        <v>0.00583</v>
      </c>
      <c r="M26" s="39"/>
    </row>
    <row r="27" spans="2:3" ht="15" hidden="1">
      <c r="B27" s="3" t="s">
        <v>29</v>
      </c>
      <c r="C27" s="50">
        <v>0.05</v>
      </c>
    </row>
    <row r="28" spans="2:3" ht="15" hidden="1">
      <c r="B28" s="3" t="s">
        <v>30</v>
      </c>
      <c r="C28" s="50">
        <v>0.04</v>
      </c>
    </row>
    <row r="29" ht="15" hidden="1">
      <c r="C29" s="50"/>
    </row>
    <row r="30" ht="18.75" hidden="1">
      <c r="A30" s="49" t="s">
        <v>31</v>
      </c>
    </row>
    <row r="31" spans="2:13" ht="15" hidden="1">
      <c r="B31" s="3" t="s">
        <v>32</v>
      </c>
      <c r="C31" s="35">
        <f>C13-0.005</f>
        <v>-0.005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2:13" ht="15" hidden="1">
      <c r="B32" s="3" t="s">
        <v>17</v>
      </c>
      <c r="C32" s="35">
        <f>BestEstMortPerc*1.1</f>
        <v>0.8250000000000001</v>
      </c>
      <c r="D32" s="3"/>
      <c r="F32" s="35"/>
      <c r="G32" s="35"/>
      <c r="H32" s="35"/>
      <c r="I32" s="35"/>
      <c r="J32" s="35"/>
      <c r="K32" s="35"/>
      <c r="L32" s="35"/>
      <c r="M32" s="35"/>
    </row>
    <row r="33" spans="2:13" ht="15" hidden="1">
      <c r="B33" s="3" t="s">
        <v>18</v>
      </c>
      <c r="C33" s="39">
        <f>IF(IssAge+C3-1&gt;=120,1,VLOOKUP(IssAge+C3-1,'2001 CSO'!$B$4:$C$124,2)*GAAPPADMortPerc)</f>
        <v>0.00228525</v>
      </c>
      <c r="D33" s="39">
        <f>IF(IssAge+D3-1&gt;=120,1,VLOOKUP(IssAge+D3-1,'2001 CSO'!$B$4:$C$124,2)*GAAPPADMortPerc)</f>
        <v>0.0024997500000000002</v>
      </c>
      <c r="E33" s="39">
        <f>IF(IssAge+E3-1&gt;=120,1,VLOOKUP(IssAge+E3-1,'2001 CSO'!$B$4:$C$124,2)*GAAPPADMortPerc)</f>
        <v>0.00268125</v>
      </c>
      <c r="F33" s="39">
        <f>IF(IssAge+F3-1&gt;=120,1,VLOOKUP(IssAge+F3-1,'2001 CSO'!$B$4:$C$124,2)*GAAPPADMortPerc)</f>
        <v>0.0028215000000000002</v>
      </c>
      <c r="G33" s="39">
        <f>IF(IssAge+G3-1&gt;=120,1,VLOOKUP(IssAge+G3-1,'2001 CSO'!$B$4:$C$124,2)*GAAPPADMortPerc)</f>
        <v>0.0030030000000000005</v>
      </c>
      <c r="H33" s="39">
        <f>IF(IssAge+H3-1&gt;=120,1,VLOOKUP(IssAge+H3-1,'2001 CSO'!$B$4:$C$124,2)*GAAPPADMortPerc)</f>
        <v>0.0032257500000000003</v>
      </c>
      <c r="I33" s="39">
        <f>IF(IssAge+I3-1&gt;=120,1,VLOOKUP(IssAge+I3-1,'2001 CSO'!$B$4:$C$124,2)*GAAPPADMortPerc)</f>
        <v>0.0035145000000000003</v>
      </c>
      <c r="J33" s="39">
        <f>IF(IssAge+J3-1&gt;=120,1,VLOOKUP(IssAge+J3-1,'2001 CSO'!$B$4:$C$124,2)*GAAPPADMortPerc)</f>
        <v>0.0038775000000000003</v>
      </c>
      <c r="K33" s="39">
        <f>IF(IssAge+K3-1&gt;=120,1,VLOOKUP(IssAge+K3-1,'2001 CSO'!$B$4:$C$124,2)*GAAPPADMortPerc)</f>
        <v>0.004298250000000001</v>
      </c>
      <c r="L33" s="39">
        <f>IF(IssAge+L3-1&gt;=120,1,VLOOKUP(IssAge+L3-1,'2001 CSO'!$B$4:$C$124,2)*GAAPPADMortPerc)</f>
        <v>0.004809750000000001</v>
      </c>
      <c r="M33" s="39"/>
    </row>
    <row r="34" spans="2:13" ht="15" hidden="1">
      <c r="B34" s="3" t="s">
        <v>20</v>
      </c>
      <c r="C34" s="51">
        <f>C16*1.5</f>
        <v>0.07500000000000001</v>
      </c>
      <c r="D34" s="51">
        <f aca="true" t="shared" si="3" ref="D34:K34">D16*1.5</f>
        <v>0.07500000000000001</v>
      </c>
      <c r="E34" s="51">
        <f t="shared" si="3"/>
        <v>0.07500000000000001</v>
      </c>
      <c r="F34" s="51">
        <f t="shared" si="3"/>
        <v>0.07500000000000001</v>
      </c>
      <c r="G34" s="51">
        <f t="shared" si="3"/>
        <v>0.07500000000000001</v>
      </c>
      <c r="H34" s="51">
        <f t="shared" si="3"/>
        <v>0.07500000000000001</v>
      </c>
      <c r="I34" s="51">
        <f t="shared" si="3"/>
        <v>0.07500000000000001</v>
      </c>
      <c r="J34" s="51">
        <f t="shared" si="3"/>
        <v>0.07500000000000001</v>
      </c>
      <c r="K34" s="51">
        <f t="shared" si="3"/>
        <v>0.07500000000000001</v>
      </c>
      <c r="L34" s="51">
        <v>1</v>
      </c>
      <c r="M34" s="51"/>
    </row>
    <row r="35" spans="2:4" ht="15" hidden="1">
      <c r="B35" s="3" t="s">
        <v>33</v>
      </c>
      <c r="C35" s="2">
        <f>C19*1.2</f>
        <v>12</v>
      </c>
      <c r="D35" s="3"/>
    </row>
    <row r="36" spans="2:3" ht="15" hidden="1">
      <c r="B36" s="3" t="s">
        <v>24</v>
      </c>
      <c r="C36" s="35">
        <f>C20+0.005</f>
        <v>0.034999999999999996</v>
      </c>
    </row>
    <row r="37" spans="2:4" ht="15" hidden="1">
      <c r="B37" s="3" t="s">
        <v>34</v>
      </c>
      <c r="C37" s="43">
        <v>0.75</v>
      </c>
      <c r="D37" s="43"/>
    </row>
    <row r="38" ht="15" hidden="1"/>
    <row r="39" spans="1:3" ht="18.75" hidden="1">
      <c r="A39" s="49" t="s">
        <v>35</v>
      </c>
      <c r="C39" s="35"/>
    </row>
    <row r="40" spans="2:4" ht="15" hidden="1">
      <c r="B40" s="3" t="s">
        <v>17</v>
      </c>
      <c r="C40" s="35">
        <v>0.825</v>
      </c>
      <c r="D40" s="52">
        <f>BestEstMortPerc*0.9</f>
        <v>0.675</v>
      </c>
    </row>
    <row r="41" spans="2:12" ht="15" hidden="1">
      <c r="B41" s="3" t="s">
        <v>36</v>
      </c>
      <c r="C41" s="39">
        <f>IF(IssAge+C3-1&gt;=120,1,VLOOKUP(IssAge+C3-1,'[2]2001 CSO'!$B$3:$C$123,2)*$C$14)</f>
        <v>0.0020775</v>
      </c>
      <c r="D41" s="39">
        <f>IF(IssAge+D3-1&gt;=120,1,VLOOKUP(IssAge+D3-1,'[2]2001 CSO'!$B$3:$C$123,2)*$C$14)</f>
        <v>0.0022725</v>
      </c>
      <c r="E41" s="39">
        <f>IF(IssAge+E3-1&gt;=120,1,VLOOKUP(IssAge+E3-1,'[2]2001 CSO'!$B$3:$C$123,2)*$C$14)</f>
        <v>0.0024375</v>
      </c>
      <c r="F41" s="39">
        <f>IF(IssAge+F3-1&gt;=120,1,VLOOKUP(IssAge+F3-1,'[2]2001 CSO'!$B$3:$C$123,2)*$C$14)</f>
        <v>0.002565</v>
      </c>
      <c r="G41" s="39">
        <f>IF(IssAge+G3-1&gt;=120,1,VLOOKUP(IssAge+G3-1,'[2]2001 CSO'!$B$3:$C$123,2)*$C$14)</f>
        <v>0.00273</v>
      </c>
      <c r="H41" s="39">
        <f>IF(IssAge+H3-1&gt;=120,1,VLOOKUP(IssAge+H3-1,'[2]2001 CSO'!$B$3:$C$123,2)*$C$40)</f>
        <v>0.00322575</v>
      </c>
      <c r="I41" s="39">
        <f>IF(IssAge+I3-1&gt;=120,1,VLOOKUP(IssAge+I3-1,'[2]2001 CSO'!$B$3:$C$123,2)*$C$40)</f>
        <v>0.0035145</v>
      </c>
      <c r="J41" s="39">
        <f>IF(IssAge+J3-1&gt;=120,1,VLOOKUP(IssAge+J3-1,'[2]2001 CSO'!$B$3:$C$123,2)*$C$40)</f>
        <v>0.0038775</v>
      </c>
      <c r="K41" s="39">
        <f>IF(IssAge+K3-1&gt;=120,1,VLOOKUP(IssAge+K3-1,'[2]2001 CSO'!$B$3:$C$123,2)*$C$40)</f>
        <v>0.00429825</v>
      </c>
      <c r="L41" s="39">
        <f>IF(IssAge+L3-1&gt;=120,1,VLOOKUP(IssAge+L3-1,'[2]2001 CSO'!$B$3:$C$123,2)*$C$40)</f>
        <v>0.00480975</v>
      </c>
    </row>
    <row r="42" spans="2:12" ht="15" hidden="1">
      <c r="B42" s="3" t="s">
        <v>37</v>
      </c>
      <c r="C42" s="39">
        <f>IF(IssAge+C3-1&gt;=120,1,VLOOKUP(IssAge+C3-1,'[2]2001 CSO'!$B$3:$C$123,2)*$C$14)</f>
        <v>0.0020775</v>
      </c>
      <c r="D42" s="39">
        <f>IF(IssAge+D3-1&gt;=120,1,VLOOKUP(IssAge+D3-1,'[2]2001 CSO'!$B$3:$C$123,2)*$C$14)</f>
        <v>0.0022725</v>
      </c>
      <c r="E42" s="39">
        <f>IF(IssAge+E3-1&gt;=120,1,VLOOKUP(IssAge+E3-1,'[2]2001 CSO'!$B$3:$C$123,2)*$C$14)</f>
        <v>0.0024375</v>
      </c>
      <c r="F42" s="39">
        <f>IF(IssAge+F3-1&gt;=120,1,VLOOKUP(IssAge+F3-1,'[2]2001 CSO'!$B$3:$C$123,2)*$C$14)</f>
        <v>0.002565</v>
      </c>
      <c r="G42" s="39">
        <f>IF(IssAge+G3-1&gt;=120,1,VLOOKUP(IssAge+G3-1,'[2]2001 CSO'!$B$3:$C$123,2)*$C$14)</f>
        <v>0.00273</v>
      </c>
      <c r="H42" s="39">
        <f>IF(IssAge+H3-1&gt;=120,1,VLOOKUP(IssAge+H3-1,'[2]2001 CSO'!$B$3:$C$123,2)*$D$40)</f>
        <v>0.0026392500000000005</v>
      </c>
      <c r="I42" s="39">
        <f>IF(IssAge+I3-1&gt;=120,1,VLOOKUP(IssAge+I3-1,'[2]2001 CSO'!$B$3:$C$123,2)*$D$40)</f>
        <v>0.0028755</v>
      </c>
      <c r="J42" s="39">
        <f>IF(IssAge+J3-1&gt;=120,1,VLOOKUP(IssAge+J3-1,'[2]2001 CSO'!$B$3:$C$123,2)*$D$40)</f>
        <v>0.0031725000000000004</v>
      </c>
      <c r="K42" s="39">
        <f>IF(IssAge+K3-1&gt;=120,1,VLOOKUP(IssAge+K3-1,'[2]2001 CSO'!$B$3:$C$123,2)*$D$40)</f>
        <v>0.0035167500000000003</v>
      </c>
      <c r="L42" s="39">
        <f>IF(IssAge+L3-1&gt;=120,1,VLOOKUP(IssAge+L3-1,'[2]2001 CSO'!$B$3:$C$123,2)*$D$40)</f>
        <v>0.00393525</v>
      </c>
    </row>
    <row r="43" spans="2:13" ht="15" hidden="1">
      <c r="B43" s="3" t="s">
        <v>38</v>
      </c>
      <c r="C43" s="39">
        <v>0.05</v>
      </c>
      <c r="D43" s="39">
        <v>0.05</v>
      </c>
      <c r="E43" s="39">
        <v>0.05</v>
      </c>
      <c r="F43" s="39">
        <v>0.05</v>
      </c>
      <c r="G43" s="39">
        <v>0.05</v>
      </c>
      <c r="H43" s="39">
        <v>0.075</v>
      </c>
      <c r="I43" s="39">
        <v>0.075</v>
      </c>
      <c r="J43" s="39">
        <v>0.075</v>
      </c>
      <c r="K43" s="39">
        <v>0.075</v>
      </c>
      <c r="L43" s="39">
        <v>1</v>
      </c>
      <c r="M43" s="39"/>
    </row>
    <row r="44" spans="2:13" ht="15" hidden="1">
      <c r="B44" s="3" t="s">
        <v>39</v>
      </c>
      <c r="C44" s="39">
        <v>0.05</v>
      </c>
      <c r="D44" s="39">
        <v>0.05</v>
      </c>
      <c r="E44" s="39">
        <v>0.05</v>
      </c>
      <c r="F44" s="39">
        <v>0.05</v>
      </c>
      <c r="G44" s="39">
        <v>0.05</v>
      </c>
      <c r="H44" s="39">
        <v>0.025</v>
      </c>
      <c r="I44" s="39">
        <v>0.025</v>
      </c>
      <c r="J44" s="39">
        <v>0.025</v>
      </c>
      <c r="K44" s="39">
        <v>0.025</v>
      </c>
      <c r="L44" s="39">
        <v>1</v>
      </c>
      <c r="M44" s="39"/>
    </row>
    <row r="45" spans="2:3" ht="15" hidden="1">
      <c r="B45" s="3" t="s">
        <v>40</v>
      </c>
      <c r="C45" s="2">
        <f>MaintExpPerPol*1.5</f>
        <v>15</v>
      </c>
    </row>
    <row r="46" spans="2:3" ht="15" hidden="1">
      <c r="B46" s="3" t="s">
        <v>41</v>
      </c>
      <c r="C46" s="3">
        <f>MaintExpPerPol*0.5</f>
        <v>5</v>
      </c>
    </row>
    <row r="47" spans="2:3" ht="15" hidden="1">
      <c r="B47" s="3" t="s">
        <v>42</v>
      </c>
      <c r="C47" s="35">
        <f>BestEstInvRet-1%</f>
        <v>-0.01</v>
      </c>
    </row>
    <row r="48" spans="2:3" ht="15" hidden="1">
      <c r="B48" s="3" t="s">
        <v>43</v>
      </c>
      <c r="C48" s="35">
        <f>BestEstInvRet+1%</f>
        <v>0.01</v>
      </c>
    </row>
    <row r="49" ht="15" hidden="1"/>
    <row r="50" ht="18.75" hidden="1">
      <c r="A50" s="49" t="s">
        <v>44</v>
      </c>
    </row>
    <row r="51" spans="2:13" ht="15" hidden="1">
      <c r="B51" s="3" t="s">
        <v>45</v>
      </c>
      <c r="C51" s="35">
        <f>GAAPPADInvRet+1%</f>
        <v>0.005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2:13" ht="15" hidden="1">
      <c r="B52" s="3" t="s">
        <v>46</v>
      </c>
      <c r="C52" s="35">
        <f>GAAPPADInvRet-1%</f>
        <v>-0.015</v>
      </c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2:5" ht="15" hidden="1">
      <c r="B53" s="3" t="s">
        <v>17</v>
      </c>
      <c r="D53" s="35">
        <f>GAAPPADMortPerc*1.1</f>
        <v>0.9075000000000002</v>
      </c>
      <c r="E53" s="35">
        <f>GAAPPADMortPerc*0.9</f>
        <v>0.7425</v>
      </c>
    </row>
    <row r="54" spans="2:13" ht="15" hidden="1">
      <c r="B54" s="3" t="s">
        <v>47</v>
      </c>
      <c r="C54" s="39">
        <f>C33</f>
        <v>0.00228525</v>
      </c>
      <c r="D54" s="39">
        <f>D33</f>
        <v>0.0024997500000000002</v>
      </c>
      <c r="E54" s="39">
        <f>E33</f>
        <v>0.00268125</v>
      </c>
      <c r="F54" s="39">
        <f>F33</f>
        <v>0.0028215000000000002</v>
      </c>
      <c r="G54" s="39">
        <f>G33</f>
        <v>0.0030030000000000005</v>
      </c>
      <c r="H54" s="39">
        <f>IF(IssAge+H3-1&gt;=120,1,VLOOKUP(IssAge+H3-1,'[2]2001 CSO'!$B$3:$C$123,2)*$D$53)</f>
        <v>0.003548325000000001</v>
      </c>
      <c r="I54" s="39">
        <f>IF(IssAge+I3-1&gt;=120,1,VLOOKUP(IssAge+I3-1,'[2]2001 CSO'!$B$3:$C$123,2)*$D$53)</f>
        <v>0.003865950000000001</v>
      </c>
      <c r="J54" s="39">
        <f>IF(IssAge+J3-1&gt;=120,1,VLOOKUP(IssAge+J3-1,'[2]2001 CSO'!$B$3:$C$123,2)*$D$53)</f>
        <v>0.004265250000000001</v>
      </c>
      <c r="K54" s="39">
        <f>IF(IssAge+K3-1&gt;=120,1,VLOOKUP(IssAge+K3-1,'[2]2001 CSO'!$B$3:$C$123,2)*$D$53)</f>
        <v>0.004728075000000001</v>
      </c>
      <c r="L54" s="39">
        <f>IF(IssAge+L3-1&gt;=120,1,VLOOKUP(IssAge+L3-1,'[2]2001 CSO'!$B$3:$C$123,2)*$D$53)</f>
        <v>0.005290725000000001</v>
      </c>
      <c r="M54" s="39"/>
    </row>
    <row r="55" spans="2:13" ht="15" hidden="1">
      <c r="B55" s="3" t="s">
        <v>48</v>
      </c>
      <c r="C55" s="39">
        <f aca="true" t="shared" si="4" ref="C55:G56">C33</f>
        <v>0.00228525</v>
      </c>
      <c r="D55" s="39">
        <f t="shared" si="4"/>
        <v>0.0024997500000000002</v>
      </c>
      <c r="E55" s="39">
        <f t="shared" si="4"/>
        <v>0.00268125</v>
      </c>
      <c r="F55" s="39">
        <f t="shared" si="4"/>
        <v>0.0028215000000000002</v>
      </c>
      <c r="G55" s="39">
        <f t="shared" si="4"/>
        <v>0.0030030000000000005</v>
      </c>
      <c r="H55" s="39">
        <f>IF(IssAge+H3-1&gt;=120,1,VLOOKUP(IssAge+H3-1,'[2]2001 CSO'!$B$3:$C$123,2)*$E$53)</f>
        <v>0.0029031750000000005</v>
      </c>
      <c r="I55" s="39">
        <f>IF(IssAge+I3-1&gt;=120,1,VLOOKUP(IssAge+I3-1,'[2]2001 CSO'!$B$3:$C$123,2)*$E$53)</f>
        <v>0.00316305</v>
      </c>
      <c r="J55" s="39">
        <f>IF(IssAge+J3-1&gt;=120,1,VLOOKUP(IssAge+J3-1,'[2]2001 CSO'!$B$3:$C$123,2)*$E$53)</f>
        <v>0.0034897500000000002</v>
      </c>
      <c r="K55" s="39">
        <f>IF(IssAge+K3-1&gt;=120,1,VLOOKUP(IssAge+K3-1,'[2]2001 CSO'!$B$3:$C$123,2)*$E$53)</f>
        <v>0.0038684250000000004</v>
      </c>
      <c r="L55" s="39">
        <f>IF(IssAge+L3-1&gt;=120,1,VLOOKUP(IssAge+L3-1,'[2]2001 CSO'!$B$3:$C$123,2)*$E$53)</f>
        <v>0.004328775</v>
      </c>
      <c r="M55" s="39"/>
    </row>
    <row r="56" spans="2:13" ht="15" hidden="1">
      <c r="B56" s="3" t="s">
        <v>49</v>
      </c>
      <c r="C56" s="51">
        <f t="shared" si="4"/>
        <v>0.07500000000000001</v>
      </c>
      <c r="D56" s="51">
        <f t="shared" si="4"/>
        <v>0.07500000000000001</v>
      </c>
      <c r="E56" s="51">
        <f t="shared" si="4"/>
        <v>0.07500000000000001</v>
      </c>
      <c r="F56" s="51">
        <f t="shared" si="4"/>
        <v>0.07500000000000001</v>
      </c>
      <c r="G56" s="51">
        <f t="shared" si="4"/>
        <v>0.07500000000000001</v>
      </c>
      <c r="H56" s="51">
        <f>H34*1.5</f>
        <v>0.11250000000000002</v>
      </c>
      <c r="I56" s="51">
        <f>I34*1.5</f>
        <v>0.11250000000000002</v>
      </c>
      <c r="J56" s="51">
        <f>J34*1.5</f>
        <v>0.11250000000000002</v>
      </c>
      <c r="K56" s="51">
        <f>K34*1.5</f>
        <v>0.11250000000000002</v>
      </c>
      <c r="L56" s="51">
        <v>1</v>
      </c>
      <c r="M56" s="51"/>
    </row>
    <row r="57" spans="2:13" ht="15" hidden="1">
      <c r="B57" s="3" t="s">
        <v>50</v>
      </c>
      <c r="C57" s="51">
        <f>C34</f>
        <v>0.07500000000000001</v>
      </c>
      <c r="D57" s="51">
        <f>D34</f>
        <v>0.07500000000000001</v>
      </c>
      <c r="E57" s="51">
        <f>E34</f>
        <v>0.07500000000000001</v>
      </c>
      <c r="F57" s="51">
        <f>F34</f>
        <v>0.07500000000000001</v>
      </c>
      <c r="G57" s="51">
        <f>G34</f>
        <v>0.07500000000000001</v>
      </c>
      <c r="H57" s="51">
        <f>H34*0.5</f>
        <v>0.037500000000000006</v>
      </c>
      <c r="I57" s="51">
        <f>I34*0.5</f>
        <v>0.037500000000000006</v>
      </c>
      <c r="J57" s="51">
        <f>J34*0.5</f>
        <v>0.037500000000000006</v>
      </c>
      <c r="K57" s="51">
        <f>K34*0.5</f>
        <v>0.037500000000000006</v>
      </c>
      <c r="L57" s="51">
        <v>1</v>
      </c>
      <c r="M57" s="51"/>
    </row>
    <row r="58" spans="2:4" ht="15" hidden="1">
      <c r="B58" s="3" t="s">
        <v>40</v>
      </c>
      <c r="C58" s="2">
        <f>C45*1.2</f>
        <v>18</v>
      </c>
      <c r="D58" s="3"/>
    </row>
    <row r="59" spans="2:3" ht="15" hidden="1">
      <c r="B59" s="3" t="s">
        <v>41</v>
      </c>
      <c r="C59" s="2">
        <f>C46*1.2</f>
        <v>6</v>
      </c>
    </row>
  </sheetData>
  <mergeCells count="2">
    <mergeCell ref="N14:Q16"/>
    <mergeCell ref="O10:Q11"/>
  </mergeCells>
  <printOptions/>
  <pageMargins left="0.7" right="0.7" top="0.75" bottom="0.75" header="0.3" footer="0.3"/>
  <pageSetup fitToHeight="1" fitToWidth="1" horizontalDpi="600" verticalDpi="600" orientation="landscape" scale="66" r:id="rId1"/>
  <headerFooter>
    <oddFooter>&amp;L&amp;D  &amp;T&amp;R&amp;F 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3"/>
  <sheetViews>
    <sheetView zoomScale="71" zoomScaleNormal="71" zoomScaleSheetLayoutView="70" workbookViewId="0" topLeftCell="A1">
      <selection activeCell="K2" sqref="K2:L2"/>
    </sheetView>
  </sheetViews>
  <sheetFormatPr defaultColWidth="9.140625" defaultRowHeight="15"/>
  <cols>
    <col min="1" max="1" width="2.140625" style="54" customWidth="1"/>
    <col min="2" max="2" width="36.7109375" style="54" customWidth="1"/>
    <col min="3" max="3" width="9.421875" style="54" bestFit="1" customWidth="1"/>
    <col min="4" max="4" width="9.421875" style="54" customWidth="1"/>
    <col min="5" max="5" width="10.140625" style="54" bestFit="1" customWidth="1"/>
    <col min="6" max="6" width="10.421875" style="54" customWidth="1"/>
    <col min="7" max="7" width="11.7109375" style="54" customWidth="1"/>
    <col min="8" max="10" width="10.140625" style="54" bestFit="1" customWidth="1"/>
    <col min="11" max="13" width="9.8515625" style="54" bestFit="1" customWidth="1"/>
    <col min="14" max="14" width="9.421875" style="54" bestFit="1" customWidth="1"/>
    <col min="15" max="16" width="9.28125" style="54" bestFit="1" customWidth="1"/>
    <col min="17" max="17" width="10.7109375" style="54" customWidth="1"/>
    <col min="18" max="124" width="9.28125" style="54" bestFit="1" customWidth="1"/>
    <col min="125" max="16384" width="9.140625" style="54" customWidth="1"/>
  </cols>
  <sheetData>
    <row r="1" spans="2:13" ht="23.25">
      <c r="B1" s="53" t="s">
        <v>51</v>
      </c>
      <c r="E1" s="4" t="s">
        <v>1</v>
      </c>
      <c r="F1" s="55"/>
      <c r="G1" s="55"/>
      <c r="H1" s="55"/>
      <c r="I1" s="55"/>
      <c r="J1" s="55"/>
      <c r="K1" s="55"/>
      <c r="L1" s="55"/>
      <c r="M1" s="55"/>
    </row>
    <row r="2" spans="2:12" ht="21" thickBot="1">
      <c r="B2" s="56" t="s">
        <v>99</v>
      </c>
      <c r="C2" s="57"/>
      <c r="D2" s="57"/>
      <c r="E2" s="56" t="s">
        <v>100</v>
      </c>
      <c r="K2" s="133" t="s">
        <v>104</v>
      </c>
      <c r="L2" s="133"/>
    </row>
    <row r="3" spans="2:8" ht="18.75" customHeight="1">
      <c r="B3" s="139" t="s">
        <v>98</v>
      </c>
      <c r="C3" s="140"/>
      <c r="E3" s="141" t="s">
        <v>98</v>
      </c>
      <c r="F3" s="142"/>
      <c r="G3" s="142"/>
      <c r="H3" s="143"/>
    </row>
    <row r="4" spans="2:8" ht="18.75" customHeight="1">
      <c r="B4" s="58" t="s">
        <v>54</v>
      </c>
      <c r="C4" s="59">
        <v>0</v>
      </c>
      <c r="E4" s="58" t="s">
        <v>54</v>
      </c>
      <c r="F4" s="60"/>
      <c r="G4" s="60"/>
      <c r="H4" s="59">
        <v>0</v>
      </c>
    </row>
    <row r="5" spans="2:8" ht="18.75" customHeight="1">
      <c r="B5" s="58" t="s">
        <v>55</v>
      </c>
      <c r="C5" s="61"/>
      <c r="E5" s="58" t="s">
        <v>55</v>
      </c>
      <c r="F5" s="60"/>
      <c r="G5" s="60"/>
      <c r="H5" s="61"/>
    </row>
    <row r="6" spans="2:8" ht="18.75" customHeight="1">
      <c r="B6" s="62" t="s">
        <v>56</v>
      </c>
      <c r="C6" s="63"/>
      <c r="E6" s="62" t="s">
        <v>56</v>
      </c>
      <c r="F6" s="64"/>
      <c r="G6" s="130"/>
      <c r="H6" s="63"/>
    </row>
    <row r="7" spans="2:8" ht="18.75" customHeight="1">
      <c r="B7" s="62" t="s">
        <v>57</v>
      </c>
      <c r="C7" s="63"/>
      <c r="E7" s="62" t="s">
        <v>101</v>
      </c>
      <c r="F7" s="64"/>
      <c r="G7" s="130"/>
      <c r="H7" s="63"/>
    </row>
    <row r="8" spans="2:8" ht="18.75" customHeight="1">
      <c r="B8" s="62" t="s">
        <v>59</v>
      </c>
      <c r="C8" s="65">
        <v>0</v>
      </c>
      <c r="E8" s="62" t="s">
        <v>59</v>
      </c>
      <c r="F8" s="64"/>
      <c r="G8" s="130"/>
      <c r="H8" s="65">
        <v>0</v>
      </c>
    </row>
    <row r="9" spans="2:8" ht="18.75" customHeight="1">
      <c r="B9" s="62" t="s">
        <v>58</v>
      </c>
      <c r="C9" s="65">
        <v>0</v>
      </c>
      <c r="E9" s="62" t="s">
        <v>58</v>
      </c>
      <c r="F9" s="64"/>
      <c r="G9" s="130"/>
      <c r="H9" s="65">
        <v>0</v>
      </c>
    </row>
    <row r="10" spans="2:8" ht="18.75" customHeight="1" thickBot="1">
      <c r="B10" s="66" t="s">
        <v>60</v>
      </c>
      <c r="C10" s="68">
        <v>0</v>
      </c>
      <c r="E10" s="66" t="s">
        <v>60</v>
      </c>
      <c r="F10" s="67"/>
      <c r="G10" s="131"/>
      <c r="H10" s="68">
        <v>0</v>
      </c>
    </row>
    <row r="11" ht="18.75" customHeight="1"/>
    <row r="12" ht="16.5" thickBot="1">
      <c r="B12" s="69" t="s">
        <v>61</v>
      </c>
    </row>
    <row r="13" spans="2:3" ht="16.5" thickBot="1">
      <c r="B13" s="70" t="s">
        <v>62</v>
      </c>
      <c r="C13" s="71">
        <f>(C37+C38)*(C37+C38&gt;0)</f>
        <v>0</v>
      </c>
    </row>
    <row r="14" ht="13.5" thickBot="1"/>
    <row r="15" spans="2:13" ht="15.75" thickBot="1">
      <c r="B15" s="100" t="s">
        <v>78</v>
      </c>
      <c r="C15" s="101">
        <v>0</v>
      </c>
      <c r="D15" s="101">
        <f aca="true" t="shared" si="0" ref="D15:M15">C15+1</f>
        <v>1</v>
      </c>
      <c r="E15" s="101">
        <f t="shared" si="0"/>
        <v>2</v>
      </c>
      <c r="F15" s="101">
        <f t="shared" si="0"/>
        <v>3</v>
      </c>
      <c r="G15" s="101">
        <f t="shared" si="0"/>
        <v>4</v>
      </c>
      <c r="H15" s="101">
        <f t="shared" si="0"/>
        <v>5</v>
      </c>
      <c r="I15" s="101">
        <f t="shared" si="0"/>
        <v>6</v>
      </c>
      <c r="J15" s="101">
        <f t="shared" si="0"/>
        <v>7</v>
      </c>
      <c r="K15" s="101">
        <f t="shared" si="0"/>
        <v>8</v>
      </c>
      <c r="L15" s="101">
        <f t="shared" si="0"/>
        <v>9</v>
      </c>
      <c r="M15" s="102">
        <f t="shared" si="0"/>
        <v>10</v>
      </c>
    </row>
    <row r="16" spans="2:13" ht="14.25">
      <c r="B16" s="103" t="s">
        <v>79</v>
      </c>
      <c r="C16" s="90">
        <f>InitFace</f>
        <v>50000</v>
      </c>
      <c r="D16" s="90">
        <f>C16*(1-Assumptions!C15*(1+$C$18))*(1-Assumptions!C16)</f>
        <v>47401.31875</v>
      </c>
      <c r="E16" s="90">
        <f>D16*(1-Assumptions!D15*(1+$C$18))*(1-Assumptions!D16)</f>
        <v>44928.91929048359</v>
      </c>
      <c r="F16" s="90">
        <f>E16*(1-Assumptions!E15*(1+$C$18))*(1-Assumptions!E16)</f>
        <v>42578.43479722738</v>
      </c>
      <c r="G16" s="90">
        <f>F16*(1-Assumptions!F15*(1+$C$18))*(1-Assumptions!F16)</f>
        <v>40345.76005637387</v>
      </c>
      <c r="H16" s="90">
        <f>G16*(1-Assumptions!G15*(1+$C$18))*(1-Assumptions!G16)</f>
        <v>38223.835324848966</v>
      </c>
      <c r="I16" s="90">
        <f>H16*(1-Assumptions!H15*(1+$C$18))*(1-Assumptions!H16)</f>
        <v>36206.1567313709</v>
      </c>
      <c r="J16" s="90">
        <f>I16*(1-Assumptions!I15*(1+$C$18))*(1-Assumptions!I16)</f>
        <v>34285.95415758346</v>
      </c>
      <c r="K16" s="90">
        <f>J16*(1-Assumptions!J15*(1+$C$18))*(1-Assumptions!J16)</f>
        <v>32456.841360719074</v>
      </c>
      <c r="L16" s="90">
        <f>K16*(1-Assumptions!K15*(1+$C$18))*(1-Assumptions!K16)</f>
        <v>30713.51544044696</v>
      </c>
      <c r="M16" s="91">
        <f>L16*(1-Assumptions!L15*(1+$C$18))*(1-Assumptions!L16)</f>
        <v>0</v>
      </c>
    </row>
    <row r="17" spans="2:13" s="74" customFormat="1" ht="15">
      <c r="B17" s="104" t="s">
        <v>80</v>
      </c>
      <c r="C17" s="105">
        <f>C16/1000*Assumptions!C8</f>
        <v>225</v>
      </c>
      <c r="D17" s="105">
        <f>D16/1000*Assumptions!D8</f>
        <v>213.305934375</v>
      </c>
      <c r="E17" s="105">
        <f>E16/1000*Assumptions!E8</f>
        <v>202.18013680717613</v>
      </c>
      <c r="F17" s="105">
        <f>F16/1000*Assumptions!F8</f>
        <v>191.6029565875232</v>
      </c>
      <c r="G17" s="105">
        <f>G16/1000*Assumptions!G8</f>
        <v>181.55592025368242</v>
      </c>
      <c r="H17" s="105">
        <f>H16/1000*Assumptions!H8</f>
        <v>172.00725896182033</v>
      </c>
      <c r="I17" s="105">
        <f>I16/1000*Assumptions!I8</f>
        <v>162.92770529116908</v>
      </c>
      <c r="J17" s="105">
        <f>J16/1000*Assumptions!J8</f>
        <v>154.28679370912556</v>
      </c>
      <c r="K17" s="105">
        <f>K16/1000*Assumptions!K8</f>
        <v>146.05578612323583</v>
      </c>
      <c r="L17" s="106">
        <f>L16/1000*Assumptions!L8</f>
        <v>138.21081948201132</v>
      </c>
      <c r="M17" s="106">
        <f>M16/1000*Assumptions!M8</f>
        <v>0</v>
      </c>
    </row>
    <row r="18" spans="2:13" s="78" customFormat="1" ht="15.75" thickBot="1">
      <c r="B18" s="107" t="s">
        <v>81</v>
      </c>
      <c r="C18" s="108">
        <v>0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2:13" s="78" customFormat="1" ht="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2:13" s="78" customFormat="1" ht="21" thickBot="1">
      <c r="B20" s="56" t="s">
        <v>63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2" s="78" customFormat="1" ht="15">
      <c r="B21" s="72" t="s">
        <v>2</v>
      </c>
      <c r="C21" s="72">
        <f>'[3]Stat'!D4</f>
        <v>1</v>
      </c>
      <c r="D21" s="72">
        <f>C21+1</f>
        <v>2</v>
      </c>
      <c r="E21" s="72">
        <f aca="true" t="shared" si="1" ref="E21:L21">D21+1</f>
        <v>3</v>
      </c>
      <c r="F21" s="72">
        <f t="shared" si="1"/>
        <v>4</v>
      </c>
      <c r="G21" s="72">
        <f t="shared" si="1"/>
        <v>5</v>
      </c>
      <c r="H21" s="72">
        <f t="shared" si="1"/>
        <v>6</v>
      </c>
      <c r="I21" s="72">
        <f t="shared" si="1"/>
        <v>7</v>
      </c>
      <c r="J21" s="72">
        <f t="shared" si="1"/>
        <v>8</v>
      </c>
      <c r="K21" s="72">
        <f t="shared" si="1"/>
        <v>9</v>
      </c>
      <c r="L21" s="73">
        <f t="shared" si="1"/>
        <v>10</v>
      </c>
    </row>
    <row r="22" spans="2:12" s="78" customFormat="1" ht="15">
      <c r="B22" s="75" t="s">
        <v>64</v>
      </c>
      <c r="C22" s="76">
        <f aca="true" t="shared" si="2" ref="C22:L22">C17</f>
        <v>225</v>
      </c>
      <c r="D22" s="76">
        <f t="shared" si="2"/>
        <v>213.305934375</v>
      </c>
      <c r="E22" s="76">
        <f t="shared" si="2"/>
        <v>202.18013680717613</v>
      </c>
      <c r="F22" s="76">
        <f t="shared" si="2"/>
        <v>191.6029565875232</v>
      </c>
      <c r="G22" s="76">
        <f t="shared" si="2"/>
        <v>181.55592025368242</v>
      </c>
      <c r="H22" s="76">
        <f t="shared" si="2"/>
        <v>172.00725896182033</v>
      </c>
      <c r="I22" s="76">
        <f t="shared" si="2"/>
        <v>162.92770529116908</v>
      </c>
      <c r="J22" s="76">
        <f t="shared" si="2"/>
        <v>154.28679370912556</v>
      </c>
      <c r="K22" s="76">
        <f t="shared" si="2"/>
        <v>146.05578612323583</v>
      </c>
      <c r="L22" s="77">
        <f t="shared" si="2"/>
        <v>138.21081948201132</v>
      </c>
    </row>
    <row r="23" spans="2:13" ht="15">
      <c r="B23" s="75" t="s">
        <v>65</v>
      </c>
      <c r="C23" s="76">
        <f>(1+$C$18)*Assumptions!C15*C16</f>
        <v>103.875</v>
      </c>
      <c r="D23" s="76">
        <f>(1+$C$18)*Assumptions!D15*D16</f>
        <v>107.71949685937501</v>
      </c>
      <c r="E23" s="76">
        <f>(1+$C$18)*Assumptions!E15*E16</f>
        <v>109.51424077055374</v>
      </c>
      <c r="F23" s="76">
        <f>(1+$C$18)*Assumptions!F15*F16</f>
        <v>109.21368525488823</v>
      </c>
      <c r="G23" s="76">
        <f>(1+$C$18)*Assumptions!G15*G16</f>
        <v>110.14392495390065</v>
      </c>
      <c r="H23" s="76">
        <f>(1+$C$18)*Assumptions!H15*H16</f>
        <v>112.0913970901196</v>
      </c>
      <c r="I23" s="76">
        <f>(1+$C$18)*Assumptions!I15*I16</f>
        <v>115.67867075673003</v>
      </c>
      <c r="J23" s="76">
        <f>(1+$C$18)*Assumptions!J15*J16</f>
        <v>120.8579884054817</v>
      </c>
      <c r="K23" s="76">
        <f>(1+$C$18)*Assumptions!K15*K16</f>
        <v>126.82510761700979</v>
      </c>
      <c r="L23" s="77">
        <f>(1+$C$18)*Assumptions!L15*L16</f>
        <v>134.29484626335432</v>
      </c>
      <c r="M23" s="83"/>
    </row>
    <row r="24" spans="2:13" ht="15">
      <c r="B24" s="75" t="s">
        <v>21</v>
      </c>
      <c r="C24" s="76">
        <f>C22*Assumptions!C17</f>
        <v>168.75</v>
      </c>
      <c r="D24" s="76">
        <f>D22*Assumptions!D17</f>
        <v>10.66529671875</v>
      </c>
      <c r="E24" s="76">
        <f>E22*Assumptions!E17</f>
        <v>10.109006840358807</v>
      </c>
      <c r="F24" s="76">
        <f>F22*Assumptions!F17</f>
        <v>9.58014782937616</v>
      </c>
      <c r="G24" s="76">
        <f>G22*Assumptions!G17</f>
        <v>9.077796012684122</v>
      </c>
      <c r="H24" s="76">
        <f>H22*Assumptions!H17</f>
        <v>8.600362948091016</v>
      </c>
      <c r="I24" s="76">
        <f>I22*Assumptions!I17</f>
        <v>8.146385264558454</v>
      </c>
      <c r="J24" s="76">
        <f>J22*Assumptions!J17</f>
        <v>7.714339685456278</v>
      </c>
      <c r="K24" s="76">
        <f>K22*Assumptions!K17</f>
        <v>7.302789306161792</v>
      </c>
      <c r="L24" s="77">
        <f>L22*Assumptions!L17</f>
        <v>6.910540974100567</v>
      </c>
      <c r="M24" s="83"/>
    </row>
    <row r="25" spans="2:13" s="87" customFormat="1" ht="15">
      <c r="B25" s="75" t="s">
        <v>66</v>
      </c>
      <c r="C25" s="76">
        <f>AcqExpPerPol</f>
        <v>75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85"/>
    </row>
    <row r="26" spans="2:13" ht="15.75" thickBot="1">
      <c r="B26" s="79" t="s">
        <v>67</v>
      </c>
      <c r="C26" s="80">
        <f aca="true" t="shared" si="3" ref="C26:L26">MaintExpPerPol*(1+BestEstInflation)^C21*(C16/InitFace)</f>
        <v>10.3</v>
      </c>
      <c r="D26" s="80">
        <f t="shared" si="3"/>
        <v>10.057611812374999</v>
      </c>
      <c r="E26" s="80">
        <f t="shared" si="3"/>
        <v>9.819008637906451</v>
      </c>
      <c r="F26" s="80">
        <f t="shared" si="3"/>
        <v>9.584480696057994</v>
      </c>
      <c r="G26" s="80">
        <f t="shared" si="3"/>
        <v>9.354358728256546</v>
      </c>
      <c r="H26" s="80">
        <f t="shared" si="3"/>
        <v>9.128251670356443</v>
      </c>
      <c r="I26" s="80">
        <f t="shared" si="3"/>
        <v>8.905801186277962</v>
      </c>
      <c r="J26" s="80">
        <f t="shared" si="3"/>
        <v>8.686484187730814</v>
      </c>
      <c r="K26" s="80">
        <f t="shared" si="3"/>
        <v>8.469763247853226</v>
      </c>
      <c r="L26" s="81">
        <f t="shared" si="3"/>
        <v>8.255279293531052</v>
      </c>
      <c r="M26" s="83"/>
    </row>
    <row r="27" spans="2:12" ht="15.75" thickBot="1">
      <c r="B27" s="82" t="s">
        <v>93</v>
      </c>
      <c r="C27" s="126">
        <f>Assumptions!$N$8*C22+Assumptions!$N$7*C22*1000/4.5</f>
        <v>103.85999999999999</v>
      </c>
      <c r="D27" s="126">
        <f>Assumptions!$N$8*D22+Assumptions!$N$7*D22*1000/4.5</f>
        <v>98.4620193075</v>
      </c>
      <c r="E27" s="126">
        <f>Assumptions!$N$8*E22+Assumptions!$N$7*E22*1000/4.5</f>
        <v>93.32635115019251</v>
      </c>
      <c r="F27" s="126">
        <f>Assumptions!$N$8*F22+Assumptions!$N$7*F22*1000/4.5</f>
        <v>88.44392476080071</v>
      </c>
      <c r="G27" s="126">
        <f>Assumptions!$N$8*G22+Assumptions!$N$7*G22*1000/4.5</f>
        <v>83.80621278909979</v>
      </c>
      <c r="H27" s="126">
        <f>Assumptions!$N$8*H22+Assumptions!$N$7*H22*1000/4.5</f>
        <v>79.39855073677626</v>
      </c>
      <c r="I27" s="126">
        <f>Assumptions!$N$8*I22+Assumptions!$N$7*I22*1000/4.5</f>
        <v>75.20742876240365</v>
      </c>
      <c r="J27" s="126">
        <f>Assumptions!$N$8*J22+Assumptions!$N$7*J22*1000/4.5</f>
        <v>71.21878397613236</v>
      </c>
      <c r="K27" s="126">
        <f>Assumptions!$N$8*K22+Assumptions!$N$7*K22*1000/4.5</f>
        <v>67.41935087448566</v>
      </c>
      <c r="L27" s="127">
        <f>Assumptions!$N$8*L22+Assumptions!$N$7*L22*1000/4.5</f>
        <v>63.79811427289642</v>
      </c>
    </row>
    <row r="28" spans="2:13" ht="15">
      <c r="B28" s="84" t="s">
        <v>68</v>
      </c>
      <c r="C28" s="132">
        <f>Assumptions!P21</f>
        <v>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2:13" ht="14.25">
      <c r="B29" s="85"/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2:13" ht="15.75" thickBot="1">
      <c r="B30" s="88" t="s">
        <v>52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2:3" ht="14.25">
      <c r="B31" s="89" t="s">
        <v>92</v>
      </c>
      <c r="C31" s="129">
        <v>0</v>
      </c>
    </row>
    <row r="32" spans="2:4" ht="14.25">
      <c r="B32" s="92" t="s">
        <v>69</v>
      </c>
      <c r="C32" s="93"/>
      <c r="D32" s="54" t="s">
        <v>96</v>
      </c>
    </row>
    <row r="33" spans="2:3" ht="14.25">
      <c r="B33" s="92" t="s">
        <v>70</v>
      </c>
      <c r="C33" s="93"/>
    </row>
    <row r="34" spans="2:4" ht="14.25">
      <c r="B34" s="92" t="s">
        <v>97</v>
      </c>
      <c r="C34" s="93"/>
      <c r="D34" s="54" t="s">
        <v>96</v>
      </c>
    </row>
    <row r="35" spans="2:4" ht="14.25">
      <c r="B35" s="92" t="s">
        <v>71</v>
      </c>
      <c r="C35" s="93"/>
      <c r="D35" s="54" t="s">
        <v>96</v>
      </c>
    </row>
    <row r="36" spans="2:4" ht="14.25">
      <c r="B36" s="92" t="s">
        <v>72</v>
      </c>
      <c r="C36" s="93"/>
      <c r="D36" s="54" t="s">
        <v>96</v>
      </c>
    </row>
    <row r="37" spans="2:13" ht="14.25">
      <c r="B37" s="92" t="s">
        <v>73</v>
      </c>
      <c r="C37" s="93"/>
      <c r="M37" s="98"/>
    </row>
    <row r="38" spans="2:13" s="97" customFormat="1" ht="14.25">
      <c r="B38" s="92" t="s">
        <v>74</v>
      </c>
      <c r="C38" s="93"/>
      <c r="D38" s="54"/>
      <c r="E38" s="54"/>
      <c r="F38" s="54"/>
      <c r="G38" s="54"/>
      <c r="H38" s="54"/>
      <c r="I38" s="54"/>
      <c r="J38" s="54"/>
      <c r="K38" s="54"/>
      <c r="L38" s="54"/>
      <c r="M38" s="98"/>
    </row>
    <row r="39" spans="2:13" ht="14.25">
      <c r="B39" s="92" t="s">
        <v>75</v>
      </c>
      <c r="C39" s="93"/>
      <c r="M39" s="98"/>
    </row>
    <row r="40" spans="2:3" ht="15.75" thickBot="1">
      <c r="B40" s="95" t="s">
        <v>76</v>
      </c>
      <c r="C40" s="96"/>
    </row>
    <row r="41" spans="2:12" ht="14.25">
      <c r="B41" s="83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 ht="14.25">
      <c r="B42" s="83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3" ht="15.75" thickBot="1">
      <c r="B43" s="88" t="s">
        <v>53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83"/>
    </row>
    <row r="44" spans="2:13" ht="14.25">
      <c r="B44" s="89" t="s">
        <v>92</v>
      </c>
      <c r="C44" s="129">
        <v>0</v>
      </c>
      <c r="D44" s="98"/>
      <c r="M44" s="83"/>
    </row>
    <row r="45" spans="2:13" ht="14.25">
      <c r="B45" s="92" t="s">
        <v>77</v>
      </c>
      <c r="C45" s="94"/>
      <c r="D45" s="98"/>
      <c r="M45" s="83"/>
    </row>
    <row r="46" spans="2:13" ht="15" thickBot="1">
      <c r="B46" s="95" t="s">
        <v>76</v>
      </c>
      <c r="C46" s="128"/>
      <c r="D46" s="98"/>
      <c r="M46" s="83"/>
    </row>
    <row r="47" spans="2:14" ht="14.2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83"/>
    </row>
    <row r="48" spans="2:14" ht="14.2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83"/>
    </row>
    <row r="49" spans="2:14" ht="14.2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83"/>
    </row>
    <row r="50" spans="2:13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2">
    <mergeCell ref="B3:C3"/>
    <mergeCell ref="E3:H3"/>
  </mergeCells>
  <printOptions/>
  <pageMargins left="0.75" right="0.75" top="0.75" bottom="0.75" header="0.5" footer="0.5"/>
  <pageSetup fitToHeight="1" fitToWidth="1" horizontalDpi="600" verticalDpi="600" orientation="landscape" scale="54" r:id="rId1"/>
  <colBreaks count="1" manualBreakCount="1">
    <brk id="25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N53"/>
  <sheetViews>
    <sheetView zoomScale="64" zoomScaleNormal="64" workbookViewId="0" topLeftCell="A1">
      <selection activeCell="K2" sqref="K2:L2"/>
    </sheetView>
  </sheetViews>
  <sheetFormatPr defaultColWidth="9.140625" defaultRowHeight="15"/>
  <cols>
    <col min="1" max="1" width="2.140625" style="54" customWidth="1"/>
    <col min="2" max="2" width="36.7109375" style="54" customWidth="1"/>
    <col min="3" max="3" width="9.421875" style="54" bestFit="1" customWidth="1"/>
    <col min="4" max="4" width="9.421875" style="54" customWidth="1"/>
    <col min="5" max="5" width="10.140625" style="54" bestFit="1" customWidth="1"/>
    <col min="6" max="6" width="10.421875" style="54" customWidth="1"/>
    <col min="7" max="7" width="11.7109375" style="54" customWidth="1"/>
    <col min="8" max="10" width="10.140625" style="54" bestFit="1" customWidth="1"/>
    <col min="11" max="13" width="9.8515625" style="54" bestFit="1" customWidth="1"/>
    <col min="14" max="14" width="9.421875" style="54" bestFit="1" customWidth="1"/>
    <col min="15" max="16" width="9.28125" style="54" bestFit="1" customWidth="1"/>
    <col min="17" max="17" width="10.7109375" style="54" customWidth="1"/>
    <col min="18" max="124" width="9.28125" style="54" bestFit="1" customWidth="1"/>
    <col min="125" max="16384" width="9.140625" style="54" customWidth="1"/>
  </cols>
  <sheetData>
    <row r="1" spans="2:13" ht="23.25">
      <c r="B1" s="53" t="s">
        <v>51</v>
      </c>
      <c r="E1" s="4" t="s">
        <v>1</v>
      </c>
      <c r="F1" s="55"/>
      <c r="G1" s="55"/>
      <c r="H1" s="55"/>
      <c r="I1" s="55"/>
      <c r="J1" s="55"/>
      <c r="K1" s="55"/>
      <c r="L1" s="55"/>
      <c r="M1" s="55"/>
    </row>
    <row r="2" spans="2:12" ht="21" thickBot="1">
      <c r="B2" s="56" t="s">
        <v>99</v>
      </c>
      <c r="C2" s="57"/>
      <c r="D2" s="57"/>
      <c r="E2" s="56" t="s">
        <v>100</v>
      </c>
      <c r="K2" s="133" t="s">
        <v>104</v>
      </c>
      <c r="L2" s="133"/>
    </row>
    <row r="3" spans="2:8" ht="18">
      <c r="B3" s="139" t="s">
        <v>98</v>
      </c>
      <c r="C3" s="140"/>
      <c r="E3" s="141" t="s">
        <v>98</v>
      </c>
      <c r="F3" s="142"/>
      <c r="G3" s="142"/>
      <c r="H3" s="143"/>
    </row>
    <row r="4" spans="2:8" ht="15.75">
      <c r="B4" s="58" t="s">
        <v>54</v>
      </c>
      <c r="C4" s="59">
        <v>0</v>
      </c>
      <c r="E4" s="58" t="s">
        <v>54</v>
      </c>
      <c r="F4" s="60"/>
      <c r="G4" s="60"/>
      <c r="H4" s="59">
        <v>0</v>
      </c>
    </row>
    <row r="5" spans="2:8" ht="15.75">
      <c r="B5" s="58" t="s">
        <v>55</v>
      </c>
      <c r="C5" s="61"/>
      <c r="E5" s="58" t="s">
        <v>55</v>
      </c>
      <c r="F5" s="60"/>
      <c r="G5" s="60"/>
      <c r="H5" s="61"/>
    </row>
    <row r="6" spans="2:8" ht="15">
      <c r="B6" s="62" t="s">
        <v>56</v>
      </c>
      <c r="C6" s="63"/>
      <c r="E6" s="62" t="s">
        <v>56</v>
      </c>
      <c r="F6" s="64"/>
      <c r="G6" s="130"/>
      <c r="H6" s="63"/>
    </row>
    <row r="7" spans="2:8" ht="15">
      <c r="B7" s="62" t="s">
        <v>57</v>
      </c>
      <c r="C7" s="63"/>
      <c r="E7" s="62" t="s">
        <v>101</v>
      </c>
      <c r="F7" s="64"/>
      <c r="G7" s="130"/>
      <c r="H7" s="63"/>
    </row>
    <row r="8" spans="2:8" ht="15">
      <c r="B8" s="62" t="s">
        <v>59</v>
      </c>
      <c r="C8" s="65">
        <v>0</v>
      </c>
      <c r="E8" s="62" t="s">
        <v>59</v>
      </c>
      <c r="F8" s="64"/>
      <c r="G8" s="130"/>
      <c r="H8" s="65">
        <v>0</v>
      </c>
    </row>
    <row r="9" spans="2:8" ht="15">
      <c r="B9" s="62" t="s">
        <v>58</v>
      </c>
      <c r="C9" s="65">
        <v>0</v>
      </c>
      <c r="E9" s="62" t="s">
        <v>58</v>
      </c>
      <c r="F9" s="64"/>
      <c r="G9" s="130"/>
      <c r="H9" s="65">
        <v>0</v>
      </c>
    </row>
    <row r="10" spans="2:8" ht="15.75" thickBot="1">
      <c r="B10" s="66" t="s">
        <v>60</v>
      </c>
      <c r="C10" s="68">
        <v>0</v>
      </c>
      <c r="E10" s="66" t="s">
        <v>60</v>
      </c>
      <c r="F10" s="67"/>
      <c r="G10" s="131"/>
      <c r="H10" s="68">
        <v>0</v>
      </c>
    </row>
    <row r="12" ht="16.5" thickBot="1">
      <c r="B12" s="69" t="s">
        <v>61</v>
      </c>
    </row>
    <row r="13" spans="2:3" ht="16.5" thickBot="1">
      <c r="B13" s="70" t="s">
        <v>62</v>
      </c>
      <c r="C13" s="71">
        <f>(C37+C38)*(C37+C38&gt;0)</f>
        <v>0</v>
      </c>
    </row>
    <row r="14" ht="13.5" thickBot="1"/>
    <row r="15" spans="2:13" ht="15.75" thickBot="1">
      <c r="B15" s="100" t="s">
        <v>78</v>
      </c>
      <c r="C15" s="101">
        <v>0</v>
      </c>
      <c r="D15" s="101">
        <f aca="true" t="shared" si="0" ref="D15:M15">C15+1</f>
        <v>1</v>
      </c>
      <c r="E15" s="101">
        <f t="shared" si="0"/>
        <v>2</v>
      </c>
      <c r="F15" s="101">
        <f t="shared" si="0"/>
        <v>3</v>
      </c>
      <c r="G15" s="101">
        <f t="shared" si="0"/>
        <v>4</v>
      </c>
      <c r="H15" s="101">
        <f t="shared" si="0"/>
        <v>5</v>
      </c>
      <c r="I15" s="101">
        <f t="shared" si="0"/>
        <v>6</v>
      </c>
      <c r="J15" s="101">
        <f t="shared" si="0"/>
        <v>7</v>
      </c>
      <c r="K15" s="101">
        <f t="shared" si="0"/>
        <v>8</v>
      </c>
      <c r="L15" s="101">
        <f t="shared" si="0"/>
        <v>9</v>
      </c>
      <c r="M15" s="102">
        <f t="shared" si="0"/>
        <v>10</v>
      </c>
    </row>
    <row r="16" spans="2:13" ht="14.25">
      <c r="B16" s="103" t="s">
        <v>79</v>
      </c>
      <c r="C16" s="90">
        <f>InitFace</f>
        <v>50000</v>
      </c>
      <c r="D16" s="90">
        <f>C16*(1-Assumptions!C15*(1+$C$18))*(1-Assumptions!C16)</f>
        <v>47376.6484375</v>
      </c>
      <c r="E16" s="90">
        <f>D16*(1-Assumptions!D15*(1+$C$18))*(1-Assumptions!D16)</f>
        <v>44879.96568825561</v>
      </c>
      <c r="F16" s="90">
        <f>E16*(1-Assumptions!E15*(1+$C$18))*(1-Assumptions!E16)</f>
        <v>42506.06094065924</v>
      </c>
      <c r="G16" s="90">
        <f>F16*(1-Assumptions!F15*(1+$C$18))*(1-Assumptions!F16)</f>
        <v>40251.28708862984</v>
      </c>
      <c r="H16" s="90">
        <f>G16*(1-Assumptions!G15*(1+$C$18))*(1-Assumptions!G16)</f>
        <v>38108.23309286789</v>
      </c>
      <c r="I16" s="90">
        <f>H16*(1-Assumptions!H15*(1+$C$18))*(1-Assumptions!H16)</f>
        <v>36070.11547089</v>
      </c>
      <c r="J16" s="90">
        <f>I16*(1-Assumptions!I15*(1+$C$18))*(1-Assumptions!I16)</f>
        <v>34129.75742486672</v>
      </c>
      <c r="K16" s="90">
        <f>J16*(1-Assumptions!J15*(1+$C$18))*(1-Assumptions!J16)</f>
        <v>32280.404522152734</v>
      </c>
      <c r="L16" s="90">
        <f>K16*(1-Assumptions!K15*(1+$C$18))*(1-Assumptions!K16)</f>
        <v>30516.5981752491</v>
      </c>
      <c r="M16" s="91">
        <f>L16*(1-Assumptions!L15*(1+$C$18))*(1-Assumptions!L16)</f>
        <v>0</v>
      </c>
    </row>
    <row r="17" spans="2:13" s="74" customFormat="1" ht="15">
      <c r="B17" s="104" t="s">
        <v>80</v>
      </c>
      <c r="C17" s="105">
        <f>C16/1000*Assumptions!C8</f>
        <v>225</v>
      </c>
      <c r="D17" s="105">
        <f>D16/1000*Assumptions!D8</f>
        <v>213.19491796875002</v>
      </c>
      <c r="E17" s="105">
        <f>E16/1000*Assumptions!E8</f>
        <v>201.95984559715023</v>
      </c>
      <c r="F17" s="105">
        <f>F16/1000*Assumptions!F8</f>
        <v>191.2772742329666</v>
      </c>
      <c r="G17" s="105">
        <f>G16/1000*Assumptions!G8</f>
        <v>181.13079189883427</v>
      </c>
      <c r="H17" s="105">
        <f>H16/1000*Assumptions!H8</f>
        <v>171.4870489179055</v>
      </c>
      <c r="I17" s="105">
        <f>I16/1000*Assumptions!I8</f>
        <v>162.31551961900502</v>
      </c>
      <c r="J17" s="105">
        <f>J16/1000*Assumptions!J8</f>
        <v>153.58390841190027</v>
      </c>
      <c r="K17" s="105">
        <f>K16/1000*Assumptions!K8</f>
        <v>145.2618203496873</v>
      </c>
      <c r="L17" s="106">
        <f>L16/1000*Assumptions!L8</f>
        <v>137.32469178862092</v>
      </c>
      <c r="M17" s="106">
        <f>M16/1000*Assumptions!M8</f>
        <v>0</v>
      </c>
    </row>
    <row r="18" spans="2:13" s="78" customFormat="1" ht="15.75" thickBot="1">
      <c r="B18" s="107" t="s">
        <v>102</v>
      </c>
      <c r="C18" s="108">
        <v>0.25</v>
      </c>
      <c r="D18" s="109"/>
      <c r="E18" s="109"/>
      <c r="F18" s="109"/>
      <c r="G18" s="109"/>
      <c r="H18" s="109"/>
      <c r="I18" s="109"/>
      <c r="J18" s="109"/>
      <c r="K18" s="109"/>
      <c r="L18" s="109"/>
      <c r="M18" s="110"/>
    </row>
    <row r="19" spans="2:13" s="78" customFormat="1" ht="15"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</row>
    <row r="20" spans="2:13" s="78" customFormat="1" ht="21" thickBot="1">
      <c r="B20" s="56" t="s">
        <v>63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</row>
    <row r="21" spans="2:12" s="78" customFormat="1" ht="15">
      <c r="B21" s="72" t="s">
        <v>2</v>
      </c>
      <c r="C21" s="72">
        <f>'[3]Stat'!D4</f>
        <v>1</v>
      </c>
      <c r="D21" s="72">
        <f>C21+1</f>
        <v>2</v>
      </c>
      <c r="E21" s="72">
        <f aca="true" t="shared" si="1" ref="E21:L21">D21+1</f>
        <v>3</v>
      </c>
      <c r="F21" s="72">
        <f t="shared" si="1"/>
        <v>4</v>
      </c>
      <c r="G21" s="72">
        <f t="shared" si="1"/>
        <v>5</v>
      </c>
      <c r="H21" s="72">
        <f t="shared" si="1"/>
        <v>6</v>
      </c>
      <c r="I21" s="72">
        <f t="shared" si="1"/>
        <v>7</v>
      </c>
      <c r="J21" s="72">
        <f t="shared" si="1"/>
        <v>8</v>
      </c>
      <c r="K21" s="72">
        <f t="shared" si="1"/>
        <v>9</v>
      </c>
      <c r="L21" s="73">
        <f t="shared" si="1"/>
        <v>10</v>
      </c>
    </row>
    <row r="22" spans="2:12" s="78" customFormat="1" ht="15">
      <c r="B22" s="75" t="s">
        <v>64</v>
      </c>
      <c r="C22" s="76">
        <f aca="true" t="shared" si="2" ref="C22:L22">C17</f>
        <v>225</v>
      </c>
      <c r="D22" s="76">
        <f t="shared" si="2"/>
        <v>213.19491796875002</v>
      </c>
      <c r="E22" s="76">
        <f t="shared" si="2"/>
        <v>201.95984559715023</v>
      </c>
      <c r="F22" s="76">
        <f t="shared" si="2"/>
        <v>191.2772742329666</v>
      </c>
      <c r="G22" s="76">
        <f t="shared" si="2"/>
        <v>181.13079189883427</v>
      </c>
      <c r="H22" s="76">
        <f t="shared" si="2"/>
        <v>171.4870489179055</v>
      </c>
      <c r="I22" s="76">
        <f t="shared" si="2"/>
        <v>162.31551961900502</v>
      </c>
      <c r="J22" s="76">
        <f t="shared" si="2"/>
        <v>153.58390841190027</v>
      </c>
      <c r="K22" s="76">
        <f t="shared" si="2"/>
        <v>145.2618203496873</v>
      </c>
      <c r="L22" s="77">
        <f t="shared" si="2"/>
        <v>137.32469178862092</v>
      </c>
    </row>
    <row r="23" spans="2:13" ht="15">
      <c r="B23" s="75" t="s">
        <v>65</v>
      </c>
      <c r="C23" s="76">
        <f>(1+$C$18)*Assumptions!C15*C16</f>
        <v>129.84375</v>
      </c>
      <c r="D23" s="76">
        <f>(1+$C$18)*Assumptions!D15*D16</f>
        <v>134.57929196777346</v>
      </c>
      <c r="E23" s="76">
        <f>(1+$C$18)*Assumptions!E15*E16</f>
        <v>136.7436454564038</v>
      </c>
      <c r="F23" s="76">
        <f>(1+$C$18)*Assumptions!F15*F16</f>
        <v>136.2850578909887</v>
      </c>
      <c r="G23" s="76">
        <f>(1+$C$18)*Assumptions!G15*G16</f>
        <v>137.35751718994933</v>
      </c>
      <c r="H23" s="76">
        <f>(1+$C$18)*Assumptions!H15*H16</f>
        <v>139.69049193104388</v>
      </c>
      <c r="I23" s="76">
        <f>(1+$C$18)*Assumptions!I15*I16</f>
        <v>144.05502366186693</v>
      </c>
      <c r="J23" s="76">
        <f>(1+$C$18)*Assumptions!J15*J16</f>
        <v>150.384243653319</v>
      </c>
      <c r="K23" s="76">
        <f>(1+$C$18)*Assumptions!K15*K16</f>
        <v>157.6696008378898</v>
      </c>
      <c r="L23" s="77">
        <f>(1+$C$18)*Assumptions!L15*L16</f>
        <v>166.79228190159586</v>
      </c>
      <c r="M23" s="83"/>
    </row>
    <row r="24" spans="2:13" ht="15">
      <c r="B24" s="75" t="s">
        <v>21</v>
      </c>
      <c r="C24" s="76">
        <f>C22*Assumptions!C17</f>
        <v>168.75</v>
      </c>
      <c r="D24" s="76">
        <f>D22*Assumptions!D17</f>
        <v>10.659745898437501</v>
      </c>
      <c r="E24" s="76">
        <f>E22*Assumptions!E17</f>
        <v>10.097992279857513</v>
      </c>
      <c r="F24" s="76">
        <f>F22*Assumptions!F17</f>
        <v>9.56386371164833</v>
      </c>
      <c r="G24" s="76">
        <f>G22*Assumptions!G17</f>
        <v>9.056539594941714</v>
      </c>
      <c r="H24" s="76">
        <f>H22*Assumptions!H17</f>
        <v>8.574352445895276</v>
      </c>
      <c r="I24" s="76">
        <f>I22*Assumptions!I17</f>
        <v>8.115775980950252</v>
      </c>
      <c r="J24" s="76">
        <f>J22*Assumptions!J17</f>
        <v>7.679195420595014</v>
      </c>
      <c r="K24" s="76">
        <f>K22*Assumptions!K17</f>
        <v>7.263091017484365</v>
      </c>
      <c r="L24" s="77">
        <f>L22*Assumptions!L17</f>
        <v>6.866234589431047</v>
      </c>
      <c r="M24" s="83"/>
    </row>
    <row r="25" spans="2:13" s="87" customFormat="1" ht="15">
      <c r="B25" s="75" t="s">
        <v>66</v>
      </c>
      <c r="C25" s="76">
        <f>AcqExpPerPol*0.75</f>
        <v>56.25</v>
      </c>
      <c r="D25" s="76">
        <v>0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7">
        <v>0</v>
      </c>
      <c r="M25" s="85"/>
    </row>
    <row r="26" spans="2:13" ht="15.75" thickBot="1">
      <c r="B26" s="79" t="s">
        <v>67</v>
      </c>
      <c r="C26" s="80">
        <f aca="true" t="shared" si="3" ref="C26:L26">MaintExpPerPol*(1+BestEstInflation)^C21*(C16/InitFace)</f>
        <v>10.3</v>
      </c>
      <c r="D26" s="80">
        <f t="shared" si="3"/>
        <v>10.05237726546875</v>
      </c>
      <c r="E26" s="80">
        <f t="shared" si="3"/>
        <v>9.808310053326098</v>
      </c>
      <c r="F26" s="80">
        <f t="shared" si="3"/>
        <v>9.568189213421771</v>
      </c>
      <c r="G26" s="80">
        <f t="shared" si="3"/>
        <v>9.332454715810979</v>
      </c>
      <c r="H26" s="80">
        <f t="shared" si="3"/>
        <v>9.100644648240268</v>
      </c>
      <c r="I26" s="80">
        <f t="shared" si="3"/>
        <v>8.872338468100978</v>
      </c>
      <c r="J26" s="80">
        <f t="shared" si="3"/>
        <v>8.646911118167601</v>
      </c>
      <c r="K26" s="80">
        <f t="shared" si="3"/>
        <v>8.423721236733032</v>
      </c>
      <c r="L26" s="81">
        <f t="shared" si="3"/>
        <v>8.20235122591604</v>
      </c>
      <c r="M26" s="83"/>
    </row>
    <row r="27" spans="2:12" ht="15.75" thickBot="1">
      <c r="B27" s="82" t="s">
        <v>93</v>
      </c>
      <c r="C27" s="126">
        <f>Assumptions!$N$8*C22+Assumptions!$N$7*C22*1000/4.5</f>
        <v>103.85999999999999</v>
      </c>
      <c r="D27" s="126">
        <f>Assumptions!$N$8*D22+Assumptions!$N$7*D22*1000/4.5</f>
        <v>98.410774134375</v>
      </c>
      <c r="E27" s="126">
        <f>Assumptions!$N$8*E22+Assumptions!$N$7*E22*1000/4.5</f>
        <v>93.22466472764454</v>
      </c>
      <c r="F27" s="126">
        <f>Assumptions!$N$8*F22+Assumptions!$N$7*F22*1000/4.5</f>
        <v>88.29358978593739</v>
      </c>
      <c r="G27" s="126">
        <f>Assumptions!$N$8*G22+Assumptions!$N$7*G22*1000/4.5</f>
        <v>83.60997354050191</v>
      </c>
      <c r="H27" s="126">
        <f>Assumptions!$N$8*H22+Assumptions!$N$7*H22*1000/4.5</f>
        <v>79.15842178050517</v>
      </c>
      <c r="I27" s="126">
        <f>Assumptions!$N$8*I22+Assumptions!$N$7*I22*1000/4.5</f>
        <v>74.92484385613272</v>
      </c>
      <c r="J27" s="126">
        <f>Assumptions!$N$8*J22+Assumptions!$N$7*J22*1000/4.5</f>
        <v>70.89433212293316</v>
      </c>
      <c r="K27" s="126">
        <f>Assumptions!$N$8*K22+Assumptions!$N$7*K22*1000/4.5</f>
        <v>67.05285627341567</v>
      </c>
      <c r="L27" s="127">
        <f>Assumptions!$N$8*L22+Assumptions!$N$7*L22*1000/4.5</f>
        <v>63.389077729627424</v>
      </c>
    </row>
    <row r="28" spans="2:13" ht="15">
      <c r="B28" s="84" t="s">
        <v>68</v>
      </c>
      <c r="C28" s="132">
        <f>Assumptions!P21</f>
        <v>0</v>
      </c>
      <c r="D28" s="83"/>
      <c r="E28" s="83"/>
      <c r="F28" s="83"/>
      <c r="G28" s="83"/>
      <c r="H28" s="83"/>
      <c r="I28" s="83"/>
      <c r="J28" s="83"/>
      <c r="K28" s="83"/>
      <c r="L28" s="83"/>
      <c r="M28" s="83"/>
    </row>
    <row r="29" spans="2:13" ht="14.25">
      <c r="B29" s="85"/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</row>
    <row r="30" spans="2:13" ht="15.75" thickBot="1">
      <c r="B30" s="88" t="s">
        <v>52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2:3" ht="14.25">
      <c r="B31" s="89" t="s">
        <v>92</v>
      </c>
      <c r="C31" s="129">
        <v>0</v>
      </c>
    </row>
    <row r="32" spans="2:4" ht="14.25">
      <c r="B32" s="92" t="s">
        <v>69</v>
      </c>
      <c r="C32" s="93"/>
      <c r="D32" s="54" t="s">
        <v>96</v>
      </c>
    </row>
    <row r="33" spans="2:3" ht="14.25">
      <c r="B33" s="92" t="s">
        <v>70</v>
      </c>
      <c r="C33" s="93"/>
    </row>
    <row r="34" spans="2:4" ht="14.25">
      <c r="B34" s="92" t="s">
        <v>97</v>
      </c>
      <c r="C34" s="93"/>
      <c r="D34" s="54" t="s">
        <v>96</v>
      </c>
    </row>
    <row r="35" spans="2:4" ht="14.25">
      <c r="B35" s="92" t="s">
        <v>71</v>
      </c>
      <c r="C35" s="93"/>
      <c r="D35" s="54" t="s">
        <v>96</v>
      </c>
    </row>
    <row r="36" spans="2:4" ht="14.25">
      <c r="B36" s="92" t="s">
        <v>72</v>
      </c>
      <c r="C36" s="93"/>
      <c r="D36" s="54" t="s">
        <v>96</v>
      </c>
    </row>
    <row r="37" spans="2:13" ht="14.25">
      <c r="B37" s="92" t="s">
        <v>73</v>
      </c>
      <c r="C37" s="93"/>
      <c r="M37" s="98"/>
    </row>
    <row r="38" spans="2:13" s="97" customFormat="1" ht="14.25">
      <c r="B38" s="92" t="s">
        <v>74</v>
      </c>
      <c r="C38" s="93"/>
      <c r="D38" s="54"/>
      <c r="E38" s="54"/>
      <c r="F38" s="54"/>
      <c r="G38" s="54"/>
      <c r="H38" s="54"/>
      <c r="I38" s="54"/>
      <c r="J38" s="54"/>
      <c r="K38" s="54"/>
      <c r="L38" s="54"/>
      <c r="M38" s="98"/>
    </row>
    <row r="39" spans="2:13" ht="14.25">
      <c r="B39" s="92" t="s">
        <v>75</v>
      </c>
      <c r="C39" s="93"/>
      <c r="M39" s="98"/>
    </row>
    <row r="40" spans="2:3" ht="15.75" thickBot="1">
      <c r="B40" s="95" t="s">
        <v>76</v>
      </c>
      <c r="C40" s="96"/>
    </row>
    <row r="41" spans="2:12" ht="14.25">
      <c r="B41" s="83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 ht="14.25">
      <c r="B42" s="83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3" ht="15.75" thickBot="1">
      <c r="B43" s="88" t="s">
        <v>53</v>
      </c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83"/>
    </row>
    <row r="44" spans="2:13" ht="14.25">
      <c r="B44" s="89" t="s">
        <v>92</v>
      </c>
      <c r="C44" s="129">
        <v>0</v>
      </c>
      <c r="D44" s="98"/>
      <c r="M44" s="83"/>
    </row>
    <row r="45" spans="2:13" ht="14.25">
      <c r="B45" s="92" t="s">
        <v>77</v>
      </c>
      <c r="C45" s="94"/>
      <c r="D45" s="98"/>
      <c r="M45" s="83"/>
    </row>
    <row r="46" spans="2:13" ht="15" thickBot="1">
      <c r="B46" s="95" t="s">
        <v>76</v>
      </c>
      <c r="C46" s="128"/>
      <c r="D46" s="98"/>
      <c r="M46" s="83"/>
    </row>
    <row r="47" spans="2:14" ht="14.25"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83"/>
    </row>
    <row r="48" spans="2:14" ht="14.25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83"/>
    </row>
    <row r="49" spans="2:14" ht="14.25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83"/>
    </row>
    <row r="50" spans="2:13" ht="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</row>
    <row r="51" spans="2:13" ht="15"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</row>
    <row r="52" spans="2:13" ht="15"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</row>
    <row r="53" spans="2:13" ht="15"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</row>
  </sheetData>
  <mergeCells count="2">
    <mergeCell ref="B3:C3"/>
    <mergeCell ref="E3:H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G124"/>
  <sheetViews>
    <sheetView showGridLines="0" workbookViewId="0" topLeftCell="A1">
      <selection activeCell="G13" sqref="G13"/>
    </sheetView>
  </sheetViews>
  <sheetFormatPr defaultColWidth="9.140625" defaultRowHeight="15"/>
  <cols>
    <col min="1" max="1" width="2.00390625" style="111" customWidth="1"/>
    <col min="2" max="16384" width="9.140625" style="111" customWidth="1"/>
  </cols>
  <sheetData>
    <row r="1" ht="6.75" customHeight="1" thickBot="1"/>
    <row r="2" spans="2:7" ht="15.75" thickBot="1">
      <c r="B2" s="144" t="s">
        <v>82</v>
      </c>
      <c r="C2" s="145"/>
      <c r="D2" s="146"/>
      <c r="F2" s="133" t="s">
        <v>104</v>
      </c>
      <c r="G2" s="133"/>
    </row>
    <row r="3" spans="2:4" ht="13.5" thickTop="1">
      <c r="B3" s="112" t="s">
        <v>83</v>
      </c>
      <c r="C3" s="113" t="s">
        <v>84</v>
      </c>
      <c r="D3" s="114" t="s">
        <v>85</v>
      </c>
    </row>
    <row r="4" spans="2:4" ht="15">
      <c r="B4" s="115">
        <v>0</v>
      </c>
      <c r="C4" s="116">
        <v>0.00072</v>
      </c>
      <c r="D4" s="117">
        <v>0.00048</v>
      </c>
    </row>
    <row r="5" spans="2:4" ht="15">
      <c r="B5" s="115">
        <f>B4+1</f>
        <v>1</v>
      </c>
      <c r="C5" s="116">
        <v>0.00046</v>
      </c>
      <c r="D5" s="117">
        <v>0.00035</v>
      </c>
    </row>
    <row r="6" spans="2:4" ht="15">
      <c r="B6" s="115">
        <f aca="true" t="shared" si="0" ref="B6:B69">B5+1</f>
        <v>2</v>
      </c>
      <c r="C6" s="116">
        <v>0.00033</v>
      </c>
      <c r="D6" s="117">
        <v>0.00026</v>
      </c>
    </row>
    <row r="7" spans="2:4" ht="15">
      <c r="B7" s="115">
        <f t="shared" si="0"/>
        <v>3</v>
      </c>
      <c r="C7" s="116">
        <v>0.00024</v>
      </c>
      <c r="D7" s="117">
        <v>0.0002</v>
      </c>
    </row>
    <row r="8" spans="2:4" ht="15">
      <c r="B8" s="115">
        <f t="shared" si="0"/>
        <v>4</v>
      </c>
      <c r="C8" s="116">
        <v>0.00021</v>
      </c>
      <c r="D8" s="117">
        <v>0.00019</v>
      </c>
    </row>
    <row r="9" spans="2:4" ht="15">
      <c r="B9" s="115">
        <f t="shared" si="0"/>
        <v>5</v>
      </c>
      <c r="C9" s="116">
        <v>0.00021</v>
      </c>
      <c r="D9" s="117">
        <v>0.00018</v>
      </c>
    </row>
    <row r="10" spans="2:4" ht="15">
      <c r="B10" s="115">
        <f t="shared" si="0"/>
        <v>6</v>
      </c>
      <c r="C10" s="116">
        <v>0.00022</v>
      </c>
      <c r="D10" s="117">
        <v>0.00018</v>
      </c>
    </row>
    <row r="11" spans="2:4" ht="15">
      <c r="B11" s="115">
        <f t="shared" si="0"/>
        <v>7</v>
      </c>
      <c r="C11" s="116">
        <v>0.00022</v>
      </c>
      <c r="D11" s="117">
        <v>0.00021</v>
      </c>
    </row>
    <row r="12" spans="2:4" ht="15">
      <c r="B12" s="115">
        <f t="shared" si="0"/>
        <v>8</v>
      </c>
      <c r="C12" s="116">
        <v>0.00022</v>
      </c>
      <c r="D12" s="117">
        <v>0.00021</v>
      </c>
    </row>
    <row r="13" spans="2:4" ht="15">
      <c r="B13" s="115">
        <f t="shared" si="0"/>
        <v>9</v>
      </c>
      <c r="C13" s="116">
        <v>0.00023</v>
      </c>
      <c r="D13" s="117">
        <v>0.00021</v>
      </c>
    </row>
    <row r="14" spans="2:4" ht="15">
      <c r="B14" s="115">
        <f t="shared" si="0"/>
        <v>10</v>
      </c>
      <c r="C14" s="116">
        <v>0.00024</v>
      </c>
      <c r="D14" s="117">
        <v>0.00022</v>
      </c>
    </row>
    <row r="15" spans="2:4" ht="15">
      <c r="B15" s="115">
        <f t="shared" si="0"/>
        <v>11</v>
      </c>
      <c r="C15" s="116">
        <v>0.00028</v>
      </c>
      <c r="D15" s="117">
        <v>0.00023</v>
      </c>
    </row>
    <row r="16" spans="2:4" ht="15">
      <c r="B16" s="115">
        <f t="shared" si="0"/>
        <v>12</v>
      </c>
      <c r="C16" s="116">
        <v>0.00034</v>
      </c>
      <c r="D16" s="117">
        <v>0.00027</v>
      </c>
    </row>
    <row r="17" spans="2:4" ht="15">
      <c r="B17" s="115">
        <f t="shared" si="0"/>
        <v>13</v>
      </c>
      <c r="C17" s="116">
        <v>0.0004</v>
      </c>
      <c r="D17" s="117">
        <v>0.0003</v>
      </c>
    </row>
    <row r="18" spans="2:4" ht="15">
      <c r="B18" s="115">
        <f t="shared" si="0"/>
        <v>14</v>
      </c>
      <c r="C18" s="116">
        <v>0.00052</v>
      </c>
      <c r="D18" s="117">
        <v>0.00033</v>
      </c>
    </row>
    <row r="19" spans="2:4" ht="15">
      <c r="B19" s="115">
        <f t="shared" si="0"/>
        <v>15</v>
      </c>
      <c r="C19" s="116">
        <v>0.00066</v>
      </c>
      <c r="D19" s="117">
        <v>0.00035</v>
      </c>
    </row>
    <row r="20" spans="2:4" ht="15">
      <c r="B20" s="115">
        <f t="shared" si="0"/>
        <v>16</v>
      </c>
      <c r="C20" s="116">
        <v>0.00078</v>
      </c>
      <c r="D20" s="117">
        <v>0.00039</v>
      </c>
    </row>
    <row r="21" spans="2:4" ht="15">
      <c r="B21" s="115">
        <f t="shared" si="0"/>
        <v>17</v>
      </c>
      <c r="C21" s="116">
        <v>0.00089</v>
      </c>
      <c r="D21" s="117">
        <v>0.00041</v>
      </c>
    </row>
    <row r="22" spans="2:4" ht="15">
      <c r="B22" s="115">
        <f t="shared" si="0"/>
        <v>18</v>
      </c>
      <c r="C22" s="116">
        <v>0.00095</v>
      </c>
      <c r="D22" s="117">
        <v>0.00043</v>
      </c>
    </row>
    <row r="23" spans="2:4" ht="15">
      <c r="B23" s="115">
        <f t="shared" si="0"/>
        <v>19</v>
      </c>
      <c r="C23" s="116">
        <v>0.00098</v>
      </c>
      <c r="D23" s="117">
        <v>0.00046</v>
      </c>
    </row>
    <row r="24" spans="2:4" ht="15">
      <c r="B24" s="115">
        <f t="shared" si="0"/>
        <v>20</v>
      </c>
      <c r="C24" s="116">
        <v>0.001</v>
      </c>
      <c r="D24" s="117">
        <v>0.00047</v>
      </c>
    </row>
    <row r="25" spans="2:4" ht="15">
      <c r="B25" s="115">
        <f t="shared" si="0"/>
        <v>21</v>
      </c>
      <c r="C25" s="116">
        <v>0.00101</v>
      </c>
      <c r="D25" s="117">
        <v>0.00048</v>
      </c>
    </row>
    <row r="26" spans="2:4" ht="15">
      <c r="B26" s="115">
        <f t="shared" si="0"/>
        <v>22</v>
      </c>
      <c r="C26" s="116">
        <v>0.00102</v>
      </c>
      <c r="D26" s="117">
        <v>0.0005</v>
      </c>
    </row>
    <row r="27" spans="2:4" ht="15">
      <c r="B27" s="115">
        <f t="shared" si="0"/>
        <v>23</v>
      </c>
      <c r="C27" s="116">
        <v>0.00104</v>
      </c>
      <c r="D27" s="117">
        <v>0.0005</v>
      </c>
    </row>
    <row r="28" spans="2:4" ht="15">
      <c r="B28" s="115">
        <f t="shared" si="0"/>
        <v>24</v>
      </c>
      <c r="C28" s="116">
        <v>0.00106</v>
      </c>
      <c r="D28" s="117">
        <v>0.00052</v>
      </c>
    </row>
    <row r="29" spans="2:4" ht="15">
      <c r="B29" s="115">
        <f t="shared" si="0"/>
        <v>25</v>
      </c>
      <c r="C29" s="116">
        <v>0.00109</v>
      </c>
      <c r="D29" s="117">
        <v>0.00054</v>
      </c>
    </row>
    <row r="30" spans="2:4" ht="15">
      <c r="B30" s="115">
        <f t="shared" si="0"/>
        <v>26</v>
      </c>
      <c r="C30" s="116">
        <v>0.00114</v>
      </c>
      <c r="D30" s="117">
        <v>0.00056</v>
      </c>
    </row>
    <row r="31" spans="2:4" ht="15">
      <c r="B31" s="115">
        <f t="shared" si="0"/>
        <v>27</v>
      </c>
      <c r="C31" s="116">
        <v>0.00117</v>
      </c>
      <c r="D31" s="117">
        <v>0.0006</v>
      </c>
    </row>
    <row r="32" spans="2:4" ht="15">
      <c r="B32" s="115">
        <f t="shared" si="0"/>
        <v>28</v>
      </c>
      <c r="C32" s="116">
        <v>0.00116</v>
      </c>
      <c r="D32" s="117">
        <v>0.00063</v>
      </c>
    </row>
    <row r="33" spans="2:4" ht="15">
      <c r="B33" s="115">
        <f t="shared" si="0"/>
        <v>29</v>
      </c>
      <c r="C33" s="116">
        <v>0.00115</v>
      </c>
      <c r="D33" s="117">
        <v>0.00066</v>
      </c>
    </row>
    <row r="34" spans="2:4" ht="15">
      <c r="B34" s="115">
        <f t="shared" si="0"/>
        <v>30</v>
      </c>
      <c r="C34" s="116">
        <v>0.00114</v>
      </c>
      <c r="D34" s="117">
        <v>0.00068</v>
      </c>
    </row>
    <row r="35" spans="2:4" ht="15">
      <c r="B35" s="115">
        <f t="shared" si="0"/>
        <v>31</v>
      </c>
      <c r="C35" s="116">
        <v>0.00113</v>
      </c>
      <c r="D35" s="117">
        <v>0.00073</v>
      </c>
    </row>
    <row r="36" spans="2:4" ht="15">
      <c r="B36" s="115">
        <f t="shared" si="0"/>
        <v>32</v>
      </c>
      <c r="C36" s="116">
        <v>0.00114</v>
      </c>
      <c r="D36" s="117">
        <v>0.00077</v>
      </c>
    </row>
    <row r="37" spans="2:4" ht="15">
      <c r="B37" s="115">
        <f t="shared" si="0"/>
        <v>33</v>
      </c>
      <c r="C37" s="116">
        <v>0.00116</v>
      </c>
      <c r="D37" s="117">
        <v>0.00082</v>
      </c>
    </row>
    <row r="38" spans="2:4" ht="15">
      <c r="B38" s="115">
        <f t="shared" si="0"/>
        <v>34</v>
      </c>
      <c r="C38" s="116">
        <v>0.00119</v>
      </c>
      <c r="D38" s="117">
        <v>0.00088</v>
      </c>
    </row>
    <row r="39" spans="2:4" ht="15">
      <c r="B39" s="115">
        <f t="shared" si="0"/>
        <v>35</v>
      </c>
      <c r="C39" s="116">
        <v>0.00124</v>
      </c>
      <c r="D39" s="117">
        <v>0.00097</v>
      </c>
    </row>
    <row r="40" spans="2:4" ht="15">
      <c r="B40" s="115">
        <f t="shared" si="0"/>
        <v>36</v>
      </c>
      <c r="C40" s="116">
        <v>0.00131</v>
      </c>
      <c r="D40" s="117">
        <v>0.00103</v>
      </c>
    </row>
    <row r="41" spans="2:4" ht="15">
      <c r="B41" s="115">
        <f t="shared" si="0"/>
        <v>37</v>
      </c>
      <c r="C41" s="116">
        <v>0.00139</v>
      </c>
      <c r="D41" s="117">
        <v>0.00111</v>
      </c>
    </row>
    <row r="42" spans="2:4" ht="15">
      <c r="B42" s="115">
        <f t="shared" si="0"/>
        <v>38</v>
      </c>
      <c r="C42" s="116">
        <v>0.00149</v>
      </c>
      <c r="D42" s="117">
        <v>0.00117</v>
      </c>
    </row>
    <row r="43" spans="2:4" ht="15">
      <c r="B43" s="115">
        <f t="shared" si="0"/>
        <v>39</v>
      </c>
      <c r="C43" s="116">
        <v>0.00159</v>
      </c>
      <c r="D43" s="117">
        <v>0.00123</v>
      </c>
    </row>
    <row r="44" spans="2:4" ht="15">
      <c r="B44" s="115">
        <f t="shared" si="0"/>
        <v>40</v>
      </c>
      <c r="C44" s="116">
        <v>0.00172</v>
      </c>
      <c r="D44" s="117">
        <v>0.0013</v>
      </c>
    </row>
    <row r="45" spans="2:4" ht="15">
      <c r="B45" s="115">
        <f t="shared" si="0"/>
        <v>41</v>
      </c>
      <c r="C45" s="116">
        <v>0.00187</v>
      </c>
      <c r="D45" s="117">
        <v>0.00138</v>
      </c>
    </row>
    <row r="46" spans="2:4" ht="15">
      <c r="B46" s="115">
        <f t="shared" si="0"/>
        <v>42</v>
      </c>
      <c r="C46" s="116">
        <v>0.00205</v>
      </c>
      <c r="D46" s="117">
        <v>0.00148</v>
      </c>
    </row>
    <row r="47" spans="2:4" ht="15">
      <c r="B47" s="115">
        <f t="shared" si="0"/>
        <v>43</v>
      </c>
      <c r="C47" s="116">
        <v>0.00227</v>
      </c>
      <c r="D47" s="117">
        <v>0.00159</v>
      </c>
    </row>
    <row r="48" spans="2:4" ht="15">
      <c r="B48" s="115">
        <f t="shared" si="0"/>
        <v>44</v>
      </c>
      <c r="C48" s="116">
        <v>0.00252</v>
      </c>
      <c r="D48" s="117">
        <v>0.00172</v>
      </c>
    </row>
    <row r="49" spans="2:4" ht="15">
      <c r="B49" s="115">
        <f t="shared" si="0"/>
        <v>45</v>
      </c>
      <c r="C49" s="116">
        <v>0.00277</v>
      </c>
      <c r="D49" s="117">
        <v>0.00187</v>
      </c>
    </row>
    <row r="50" spans="2:4" ht="15">
      <c r="B50" s="115">
        <f t="shared" si="0"/>
        <v>46</v>
      </c>
      <c r="C50" s="116">
        <v>0.00303</v>
      </c>
      <c r="D50" s="117">
        <v>0.00205</v>
      </c>
    </row>
    <row r="51" spans="2:4" ht="15">
      <c r="B51" s="115">
        <f t="shared" si="0"/>
        <v>47</v>
      </c>
      <c r="C51" s="116">
        <v>0.00325</v>
      </c>
      <c r="D51" s="117">
        <v>0.00227</v>
      </c>
    </row>
    <row r="52" spans="2:4" ht="15">
      <c r="B52" s="115">
        <f t="shared" si="0"/>
        <v>48</v>
      </c>
      <c r="C52" s="116">
        <v>0.00342</v>
      </c>
      <c r="D52" s="117">
        <v>0.0025</v>
      </c>
    </row>
    <row r="53" spans="2:4" ht="15">
      <c r="B53" s="115">
        <f t="shared" si="0"/>
        <v>49</v>
      </c>
      <c r="C53" s="116">
        <v>0.00364</v>
      </c>
      <c r="D53" s="117">
        <v>0.00278</v>
      </c>
    </row>
    <row r="54" spans="2:4" ht="15">
      <c r="B54" s="115">
        <f t="shared" si="0"/>
        <v>50</v>
      </c>
      <c r="C54" s="116">
        <v>0.00391</v>
      </c>
      <c r="D54" s="117">
        <v>0.00308</v>
      </c>
    </row>
    <row r="55" spans="2:4" ht="15">
      <c r="B55" s="115">
        <f t="shared" si="0"/>
        <v>51</v>
      </c>
      <c r="C55" s="116">
        <v>0.00426</v>
      </c>
      <c r="D55" s="117">
        <v>0.00341</v>
      </c>
    </row>
    <row r="56" spans="2:4" ht="15">
      <c r="B56" s="115">
        <f t="shared" si="0"/>
        <v>52</v>
      </c>
      <c r="C56" s="116">
        <v>0.0047</v>
      </c>
      <c r="D56" s="117">
        <v>0.00379</v>
      </c>
    </row>
    <row r="57" spans="2:4" ht="15">
      <c r="B57" s="115">
        <f t="shared" si="0"/>
        <v>53</v>
      </c>
      <c r="C57" s="116">
        <v>0.00521</v>
      </c>
      <c r="D57" s="117">
        <v>0.004200000000000001</v>
      </c>
    </row>
    <row r="58" spans="2:4" ht="15">
      <c r="B58" s="115">
        <f t="shared" si="0"/>
        <v>54</v>
      </c>
      <c r="C58" s="116">
        <v>0.00583</v>
      </c>
      <c r="D58" s="117">
        <v>0.00463</v>
      </c>
    </row>
    <row r="59" spans="2:4" ht="15">
      <c r="B59" s="115">
        <f t="shared" si="0"/>
        <v>55</v>
      </c>
      <c r="C59" s="116">
        <v>0.00652</v>
      </c>
      <c r="D59" s="117">
        <v>0.0051</v>
      </c>
    </row>
    <row r="60" spans="2:4" ht="15">
      <c r="B60" s="115">
        <f t="shared" si="0"/>
        <v>56</v>
      </c>
      <c r="C60" s="116">
        <v>0.00726</v>
      </c>
      <c r="D60" s="117">
        <v>0.00563</v>
      </c>
    </row>
    <row r="61" spans="2:4" ht="15">
      <c r="B61" s="115">
        <f t="shared" si="0"/>
        <v>57</v>
      </c>
      <c r="C61" s="116">
        <v>0.00795</v>
      </c>
      <c r="D61" s="117">
        <v>0.00619</v>
      </c>
    </row>
    <row r="62" spans="2:4" ht="15">
      <c r="B62" s="115">
        <f t="shared" si="0"/>
        <v>58</v>
      </c>
      <c r="C62" s="116">
        <v>0.00863</v>
      </c>
      <c r="D62" s="117">
        <v>0.0068</v>
      </c>
    </row>
    <row r="63" spans="2:4" ht="15">
      <c r="B63" s="115">
        <f t="shared" si="0"/>
        <v>59</v>
      </c>
      <c r="C63" s="116">
        <v>0.00942</v>
      </c>
      <c r="D63" s="117">
        <v>0.00739</v>
      </c>
    </row>
    <row r="64" spans="2:4" ht="15">
      <c r="B64" s="115">
        <f t="shared" si="0"/>
        <v>60</v>
      </c>
      <c r="C64" s="116">
        <v>0.0104</v>
      </c>
      <c r="D64" s="117">
        <v>0.00801</v>
      </c>
    </row>
    <row r="65" spans="2:4" ht="15">
      <c r="B65" s="115">
        <f t="shared" si="0"/>
        <v>61</v>
      </c>
      <c r="C65" s="116">
        <v>0.01159</v>
      </c>
      <c r="D65" s="117">
        <v>0.00868</v>
      </c>
    </row>
    <row r="66" spans="2:4" ht="15">
      <c r="B66" s="115">
        <f t="shared" si="0"/>
        <v>62</v>
      </c>
      <c r="C66" s="116">
        <v>0.01298</v>
      </c>
      <c r="D66" s="117">
        <v>0.00939</v>
      </c>
    </row>
    <row r="67" spans="2:4" ht="15">
      <c r="B67" s="115">
        <f t="shared" si="0"/>
        <v>63</v>
      </c>
      <c r="C67" s="116">
        <v>0.01447</v>
      </c>
      <c r="D67" s="117">
        <v>0.01014</v>
      </c>
    </row>
    <row r="68" spans="2:4" ht="15">
      <c r="B68" s="115">
        <f t="shared" si="0"/>
        <v>64</v>
      </c>
      <c r="C68" s="116">
        <v>0.01604</v>
      </c>
      <c r="D68" s="117">
        <v>0.01096</v>
      </c>
    </row>
    <row r="69" spans="2:4" ht="15">
      <c r="B69" s="115">
        <f t="shared" si="0"/>
        <v>65</v>
      </c>
      <c r="C69" s="116">
        <v>0.01765</v>
      </c>
      <c r="D69" s="117">
        <v>0.01185</v>
      </c>
    </row>
    <row r="70" spans="2:4" ht="15">
      <c r="B70" s="115">
        <f aca="true" t="shared" si="1" ref="B70:B124">B69+1</f>
        <v>66</v>
      </c>
      <c r="C70" s="116">
        <v>0.01927</v>
      </c>
      <c r="D70" s="117">
        <v>0.01282</v>
      </c>
    </row>
    <row r="71" spans="2:4" ht="15">
      <c r="B71" s="115">
        <f t="shared" si="1"/>
        <v>67</v>
      </c>
      <c r="C71" s="116">
        <v>0.02096</v>
      </c>
      <c r="D71" s="117">
        <v>0.01389</v>
      </c>
    </row>
    <row r="72" spans="2:4" ht="15">
      <c r="B72" s="115">
        <f t="shared" si="1"/>
        <v>68</v>
      </c>
      <c r="C72" s="116">
        <v>0.02274</v>
      </c>
      <c r="D72" s="117">
        <v>0.01507</v>
      </c>
    </row>
    <row r="73" spans="2:4" ht="15">
      <c r="B73" s="115">
        <f t="shared" si="1"/>
        <v>69</v>
      </c>
      <c r="C73" s="116">
        <v>0.02469</v>
      </c>
      <c r="D73" s="117">
        <v>0.01636</v>
      </c>
    </row>
    <row r="74" spans="2:4" ht="15">
      <c r="B74" s="115">
        <f t="shared" si="1"/>
        <v>70</v>
      </c>
      <c r="C74" s="116">
        <v>0.02694</v>
      </c>
      <c r="D74" s="117">
        <v>0.01781</v>
      </c>
    </row>
    <row r="75" spans="2:4" ht="15">
      <c r="B75" s="115">
        <f t="shared" si="1"/>
        <v>71</v>
      </c>
      <c r="C75" s="116">
        <v>0.02971</v>
      </c>
      <c r="D75" s="117">
        <v>0.01947</v>
      </c>
    </row>
    <row r="76" spans="2:4" ht="15">
      <c r="B76" s="115">
        <f t="shared" si="1"/>
        <v>72</v>
      </c>
      <c r="C76" s="116">
        <v>0.03294</v>
      </c>
      <c r="D76" s="117">
        <v>0.0213</v>
      </c>
    </row>
    <row r="77" spans="2:4" ht="15">
      <c r="B77" s="115">
        <f t="shared" si="1"/>
        <v>73</v>
      </c>
      <c r="C77" s="116">
        <v>0.03632</v>
      </c>
      <c r="D77" s="117">
        <v>0.0233</v>
      </c>
    </row>
    <row r="78" spans="2:4" ht="15">
      <c r="B78" s="115">
        <f t="shared" si="1"/>
        <v>74</v>
      </c>
      <c r="C78" s="116">
        <v>0.03996</v>
      </c>
      <c r="D78" s="117">
        <v>0.0255</v>
      </c>
    </row>
    <row r="79" spans="2:4" ht="15">
      <c r="B79" s="115">
        <f t="shared" si="1"/>
        <v>75</v>
      </c>
      <c r="C79" s="116">
        <v>0.04395</v>
      </c>
      <c r="D79" s="117">
        <v>0.0279</v>
      </c>
    </row>
    <row r="80" spans="2:4" ht="15">
      <c r="B80" s="115">
        <f t="shared" si="1"/>
        <v>76</v>
      </c>
      <c r="C80" s="116">
        <v>0.04844</v>
      </c>
      <c r="D80" s="117">
        <v>0.03053</v>
      </c>
    </row>
    <row r="81" spans="2:4" ht="15">
      <c r="B81" s="115">
        <f t="shared" si="1"/>
        <v>77</v>
      </c>
      <c r="C81" s="116">
        <v>0.05367</v>
      </c>
      <c r="D81" s="117">
        <v>0.03341</v>
      </c>
    </row>
    <row r="82" spans="2:4" ht="15">
      <c r="B82" s="115">
        <f t="shared" si="1"/>
        <v>78</v>
      </c>
      <c r="C82" s="116">
        <v>0.05972</v>
      </c>
      <c r="D82" s="117">
        <v>0.03658</v>
      </c>
    </row>
    <row r="83" spans="2:4" ht="15">
      <c r="B83" s="115">
        <f t="shared" si="1"/>
        <v>79</v>
      </c>
      <c r="C83" s="116">
        <v>0.06648</v>
      </c>
      <c r="D83" s="117">
        <v>0.04005</v>
      </c>
    </row>
    <row r="84" spans="2:4" ht="15">
      <c r="B84" s="115">
        <f t="shared" si="1"/>
        <v>80</v>
      </c>
      <c r="C84" s="116">
        <v>0.07402</v>
      </c>
      <c r="D84" s="117">
        <v>0.04386</v>
      </c>
    </row>
    <row r="85" spans="2:4" ht="15">
      <c r="B85" s="115">
        <f t="shared" si="1"/>
        <v>81</v>
      </c>
      <c r="C85" s="116">
        <v>0.0822</v>
      </c>
      <c r="D85" s="117">
        <v>0.04911</v>
      </c>
    </row>
    <row r="86" spans="2:4" ht="15">
      <c r="B86" s="115">
        <f t="shared" si="1"/>
        <v>82</v>
      </c>
      <c r="C86" s="116">
        <v>0.09082</v>
      </c>
      <c r="D86" s="117">
        <v>0.05495</v>
      </c>
    </row>
    <row r="87" spans="2:4" ht="15">
      <c r="B87" s="115">
        <f t="shared" si="1"/>
        <v>83</v>
      </c>
      <c r="C87" s="116">
        <v>0.10022</v>
      </c>
      <c r="D87" s="117">
        <v>0.06081</v>
      </c>
    </row>
    <row r="88" spans="2:4" ht="15">
      <c r="B88" s="115">
        <f t="shared" si="1"/>
        <v>84</v>
      </c>
      <c r="C88" s="116">
        <v>0.11069</v>
      </c>
      <c r="D88" s="117">
        <v>0.06727</v>
      </c>
    </row>
    <row r="89" spans="2:4" ht="15">
      <c r="B89" s="115">
        <f t="shared" si="1"/>
        <v>85</v>
      </c>
      <c r="C89" s="116">
        <v>0.12236</v>
      </c>
      <c r="D89" s="117">
        <v>0.07445</v>
      </c>
    </row>
    <row r="90" spans="2:4" ht="15">
      <c r="B90" s="115">
        <f t="shared" si="1"/>
        <v>86</v>
      </c>
      <c r="C90" s="116">
        <v>0.13517</v>
      </c>
      <c r="D90" s="117">
        <v>0.08099</v>
      </c>
    </row>
    <row r="91" spans="2:4" ht="15">
      <c r="B91" s="115">
        <f t="shared" si="1"/>
        <v>87</v>
      </c>
      <c r="C91" s="116">
        <v>0.14899</v>
      </c>
      <c r="D91" s="117">
        <v>0.09079</v>
      </c>
    </row>
    <row r="92" spans="2:4" ht="15">
      <c r="B92" s="115">
        <f t="shared" si="1"/>
        <v>88</v>
      </c>
      <c r="C92" s="116">
        <v>0.16366</v>
      </c>
      <c r="D92" s="117">
        <v>0.10107</v>
      </c>
    </row>
    <row r="93" spans="2:4" ht="15">
      <c r="B93" s="115">
        <f t="shared" si="1"/>
        <v>89</v>
      </c>
      <c r="C93" s="116">
        <v>0.17903</v>
      </c>
      <c r="D93" s="117">
        <v>0.11202</v>
      </c>
    </row>
    <row r="94" spans="2:4" ht="15">
      <c r="B94" s="115">
        <f t="shared" si="1"/>
        <v>90</v>
      </c>
      <c r="C94" s="116">
        <v>0.19428</v>
      </c>
      <c r="D94" s="117">
        <v>0.12192</v>
      </c>
    </row>
    <row r="95" spans="2:4" ht="15">
      <c r="B95" s="115">
        <f t="shared" si="1"/>
        <v>91</v>
      </c>
      <c r="C95" s="116">
        <v>0.20927</v>
      </c>
      <c r="D95" s="117">
        <v>0.12685</v>
      </c>
    </row>
    <row r="96" spans="2:4" ht="15">
      <c r="B96" s="115">
        <f t="shared" si="1"/>
        <v>92</v>
      </c>
      <c r="C96" s="116">
        <v>0.22494</v>
      </c>
      <c r="D96" s="117">
        <v>0.13688</v>
      </c>
    </row>
    <row r="97" spans="2:4" ht="15">
      <c r="B97" s="115">
        <f t="shared" si="1"/>
        <v>93</v>
      </c>
      <c r="C97" s="116">
        <v>0.24146</v>
      </c>
      <c r="D97" s="117">
        <v>0.15164</v>
      </c>
    </row>
    <row r="98" spans="2:4" ht="15">
      <c r="B98" s="115">
        <f t="shared" si="1"/>
        <v>94</v>
      </c>
      <c r="C98" s="116">
        <v>0.25886</v>
      </c>
      <c r="D98" s="117">
        <v>0.17031</v>
      </c>
    </row>
    <row r="99" spans="2:4" ht="15">
      <c r="B99" s="115">
        <f t="shared" si="1"/>
        <v>95</v>
      </c>
      <c r="C99" s="116">
        <v>0.27612</v>
      </c>
      <c r="D99" s="117">
        <v>0.19366</v>
      </c>
    </row>
    <row r="100" spans="2:4" ht="15">
      <c r="B100" s="115">
        <f t="shared" si="1"/>
        <v>96</v>
      </c>
      <c r="C100" s="116">
        <v>0.29295</v>
      </c>
      <c r="D100" s="117">
        <v>0.21566</v>
      </c>
    </row>
    <row r="101" spans="2:4" ht="15">
      <c r="B101" s="115">
        <f t="shared" si="1"/>
        <v>97</v>
      </c>
      <c r="C101" s="116">
        <v>0.31086</v>
      </c>
      <c r="D101" s="117">
        <v>0.23848</v>
      </c>
    </row>
    <row r="102" spans="2:4" ht="15">
      <c r="B102" s="115">
        <f t="shared" si="1"/>
        <v>98</v>
      </c>
      <c r="C102" s="116">
        <v>0.32995</v>
      </c>
      <c r="D102" s="117">
        <v>0.24216</v>
      </c>
    </row>
    <row r="103" spans="2:4" ht="15">
      <c r="B103" s="115">
        <f t="shared" si="1"/>
        <v>99</v>
      </c>
      <c r="C103" s="116">
        <v>0.35032</v>
      </c>
      <c r="D103" s="117">
        <v>0.25523</v>
      </c>
    </row>
    <row r="104" spans="2:4" ht="15">
      <c r="B104" s="115">
        <f t="shared" si="1"/>
        <v>100</v>
      </c>
      <c r="C104" s="116">
        <v>0.36976</v>
      </c>
      <c r="D104" s="117">
        <v>0.27573</v>
      </c>
    </row>
    <row r="105" spans="2:4" ht="15">
      <c r="B105" s="115">
        <f t="shared" si="1"/>
        <v>101</v>
      </c>
      <c r="C105" s="116">
        <v>0.38696</v>
      </c>
      <c r="D105" s="117">
        <v>0.29784</v>
      </c>
    </row>
    <row r="106" spans="2:4" ht="15">
      <c r="B106" s="115">
        <f t="shared" si="1"/>
        <v>102</v>
      </c>
      <c r="C106" s="116">
        <v>0.40525</v>
      </c>
      <c r="D106" s="117">
        <v>0.32221</v>
      </c>
    </row>
    <row r="107" spans="2:4" ht="15">
      <c r="B107" s="115">
        <f t="shared" si="1"/>
        <v>103</v>
      </c>
      <c r="C107" s="116">
        <v>0.4247</v>
      </c>
      <c r="D107" s="117">
        <v>0.34906</v>
      </c>
    </row>
    <row r="108" spans="2:4" ht="15">
      <c r="B108" s="115">
        <f t="shared" si="1"/>
        <v>104</v>
      </c>
      <c r="C108" s="116">
        <v>0.44535</v>
      </c>
      <c r="D108" s="117">
        <v>0.37861</v>
      </c>
    </row>
    <row r="109" spans="2:4" ht="15">
      <c r="B109" s="115">
        <f t="shared" si="1"/>
        <v>105</v>
      </c>
      <c r="C109" s="116">
        <v>0.46729</v>
      </c>
      <c r="D109" s="117">
        <v>0.41057</v>
      </c>
    </row>
    <row r="110" spans="2:4" ht="15">
      <c r="B110" s="115">
        <f t="shared" si="1"/>
        <v>106</v>
      </c>
      <c r="C110" s="116">
        <v>0.49057</v>
      </c>
      <c r="D110" s="117">
        <v>0.44333</v>
      </c>
    </row>
    <row r="111" spans="2:4" ht="15">
      <c r="B111" s="115">
        <f t="shared" si="1"/>
        <v>107</v>
      </c>
      <c r="C111" s="116">
        <v>0.51528</v>
      </c>
      <c r="D111" s="117">
        <v>0.47689</v>
      </c>
    </row>
    <row r="112" spans="2:4" ht="15">
      <c r="B112" s="115">
        <f t="shared" si="1"/>
        <v>108</v>
      </c>
      <c r="C112" s="116">
        <v>0.54149</v>
      </c>
      <c r="D112" s="117">
        <v>0.51065</v>
      </c>
    </row>
    <row r="113" spans="2:4" ht="15">
      <c r="B113" s="115">
        <f t="shared" si="1"/>
        <v>109</v>
      </c>
      <c r="C113" s="116">
        <v>0.56927</v>
      </c>
      <c r="D113" s="117">
        <v>0.54581</v>
      </c>
    </row>
    <row r="114" spans="2:4" ht="15">
      <c r="B114" s="115">
        <f t="shared" si="1"/>
        <v>110</v>
      </c>
      <c r="C114" s="116">
        <v>0.5987</v>
      </c>
      <c r="D114" s="117">
        <v>0.58177</v>
      </c>
    </row>
    <row r="115" spans="2:4" ht="15">
      <c r="B115" s="115">
        <f t="shared" si="1"/>
        <v>111</v>
      </c>
      <c r="C115" s="116">
        <v>0.62988</v>
      </c>
      <c r="D115" s="117">
        <v>0.61633</v>
      </c>
    </row>
    <row r="116" spans="2:4" ht="15">
      <c r="B116" s="115">
        <f t="shared" si="1"/>
        <v>112</v>
      </c>
      <c r="C116" s="116">
        <v>0.66287</v>
      </c>
      <c r="D116" s="117">
        <v>0.64985</v>
      </c>
    </row>
    <row r="117" spans="2:4" ht="15">
      <c r="B117" s="115">
        <f t="shared" si="1"/>
        <v>113</v>
      </c>
      <c r="C117" s="116">
        <v>0.69778</v>
      </c>
      <c r="D117" s="117">
        <v>0.68037</v>
      </c>
    </row>
    <row r="118" spans="2:4" ht="15">
      <c r="B118" s="115">
        <f t="shared" si="1"/>
        <v>114</v>
      </c>
      <c r="C118" s="116">
        <v>0.73468</v>
      </c>
      <c r="D118" s="117">
        <v>0.72339</v>
      </c>
    </row>
    <row r="119" spans="2:4" ht="15">
      <c r="B119" s="115">
        <f t="shared" si="1"/>
        <v>115</v>
      </c>
      <c r="C119" s="116">
        <v>0.77366</v>
      </c>
      <c r="D119" s="117">
        <v>0.76341</v>
      </c>
    </row>
    <row r="120" spans="2:4" ht="15">
      <c r="B120" s="115">
        <f t="shared" si="1"/>
        <v>116</v>
      </c>
      <c r="C120" s="116">
        <v>0.81478</v>
      </c>
      <c r="D120" s="117">
        <v>0.80493</v>
      </c>
    </row>
    <row r="121" spans="2:4" ht="15">
      <c r="B121" s="115">
        <f t="shared" si="1"/>
        <v>117</v>
      </c>
      <c r="C121" s="116">
        <v>0.85815</v>
      </c>
      <c r="D121" s="117">
        <v>0.85044</v>
      </c>
    </row>
    <row r="122" spans="2:4" ht="15">
      <c r="B122" s="115">
        <f t="shared" si="1"/>
        <v>118</v>
      </c>
      <c r="C122" s="116">
        <v>0.90381</v>
      </c>
      <c r="D122" s="117">
        <v>0.89244</v>
      </c>
    </row>
    <row r="123" spans="2:4" ht="15">
      <c r="B123" s="115">
        <f t="shared" si="1"/>
        <v>119</v>
      </c>
      <c r="C123" s="116">
        <v>0.95167</v>
      </c>
      <c r="D123" s="117">
        <v>0.93511</v>
      </c>
    </row>
    <row r="124" spans="2:4" ht="13.5" thickBot="1">
      <c r="B124" s="118">
        <f t="shared" si="1"/>
        <v>120</v>
      </c>
      <c r="C124" s="119">
        <v>1</v>
      </c>
      <c r="D124" s="120">
        <v>1</v>
      </c>
    </row>
  </sheetData>
  <mergeCells count="1">
    <mergeCell ref="B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Kong, Yibing</dc:creator>
  <cp:keywords/>
  <dc:description/>
  <cp:lastModifiedBy>SOA User</cp:lastModifiedBy>
  <dcterms:created xsi:type="dcterms:W3CDTF">2011-07-27T22:17:54Z</dcterms:created>
  <dcterms:modified xsi:type="dcterms:W3CDTF">2011-09-23T19:40:11Z</dcterms:modified>
  <cp:category/>
  <cp:version/>
  <cp:contentType/>
  <cp:contentStatus/>
</cp:coreProperties>
</file>