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90" windowWidth="19440" windowHeight="9525" activeTab="0"/>
  </bookViews>
  <sheets>
    <sheet name="Assumptions" sheetId="1" r:id="rId1"/>
    <sheet name="Base Case" sheetId="2" r:id="rId2"/>
    <sheet name="Mortality Sensitivity" sheetId="3" r:id="rId3"/>
    <sheet name="2001 CSO" sheetId="4" r:id="rId4"/>
  </sheets>
  <externalReferences>
    <externalReference r:id="rId7"/>
  </externalReferences>
  <definedNames>
    <definedName name="AcqExpPerPol">'Assumptions'!$C$17</definedName>
    <definedName name="BestEstInflation">'Assumptions'!$C$19</definedName>
    <definedName name="BestEstInvRet">'Assumptions'!#REF!</definedName>
    <definedName name="BestEstInvRetDown">'Assumptions'!$C$46</definedName>
    <definedName name="BestEstInvRetUp">'Assumptions'!$C$47</definedName>
    <definedName name="BestEstMortPerc">'Assumptions'!$C$13</definedName>
    <definedName name="GAAPAcqExpDef">'Assumptions'!$C$36</definedName>
    <definedName name="GAAPPADInf">'Assumptions'!$C$35</definedName>
    <definedName name="GAAPPADInvRet">'Assumptions'!$C$30</definedName>
    <definedName name="GAAPPADMaintExp">'Assumptions'!$C$34</definedName>
    <definedName name="GAAPPADMaintExpDown">'Assumptions'!$C$58</definedName>
    <definedName name="GAAPPADMaintExpPerPol">'Assumptions'!$C$34</definedName>
    <definedName name="GAAPPADMaintExpUp">'Assumptions'!$C$57</definedName>
    <definedName name="GAAPPADMortPerc">'Assumptions'!$C$31</definedName>
    <definedName name="InitFace">'Assumptions'!$C$9</definedName>
    <definedName name="IssAge">'Assumptions'!$C$5</definedName>
    <definedName name="MaintExpPerPol">'Assumptions'!$C$18</definedName>
    <definedName name="MaintExpPerPolDown">'Assumptions'!$C$45</definedName>
    <definedName name="MaintExpPerPolUp">'Assumptions'!$C$44</definedName>
    <definedName name="Premperk">'[1]Whole Life - Control'!$C$6</definedName>
    <definedName name="_xlnm.Print_Area" localSheetId="0">'Assumptions'!$A$1:$R$59</definedName>
    <definedName name="StatValRate">'Assumptions'!$C$24</definedName>
    <definedName name="TaxRate">'Assumptions'!$C$20</definedName>
    <definedName name="Term">'Assumptions'!$C$6</definedName>
    <definedName name="TSPercPrem">'Assumptions'!$C$26</definedName>
    <definedName name="TSPercRes">'Assumptions'!$C$27</definedName>
    <definedName name="UltCommRate">'Assumptions'!$D$16</definedName>
  </definedNames>
  <calcPr calcId="125725"/>
</workbook>
</file>

<file path=xl/sharedStrings.xml><?xml version="1.0" encoding="utf-8"?>
<sst xmlns="http://schemas.openxmlformats.org/spreadsheetml/2006/main" count="264" uniqueCount="130">
  <si>
    <t>Product Features and Assumptions:</t>
  </si>
  <si>
    <t>Instructions: Please add formulas to the cells that are highlighted in yellow.</t>
  </si>
  <si>
    <t>Year</t>
  </si>
  <si>
    <t>Building Block Assumptions:</t>
  </si>
  <si>
    <t>Product</t>
  </si>
  <si>
    <t>Risk Adjustment (Cost of Capital Approach)</t>
  </si>
  <si>
    <t>Issue Age</t>
  </si>
  <si>
    <r>
      <t>PV{ ∑</t>
    </r>
    <r>
      <rPr>
        <vertAlign val="superscript"/>
        <sz val="10"/>
        <rFont val="Arial"/>
        <family val="2"/>
      </rPr>
      <t>n</t>
    </r>
    <r>
      <rPr>
        <vertAlign val="subscript"/>
        <sz val="10"/>
        <rFont val="Arial"/>
        <family val="2"/>
      </rPr>
      <t>t=1</t>
    </r>
    <r>
      <rPr>
        <sz val="10"/>
        <rFont val="Arial"/>
        <family val="2"/>
      </rPr>
      <t xml:space="preserve"> 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*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}</t>
    </r>
  </si>
  <si>
    <t>Term</t>
  </si>
  <si>
    <r>
      <t>where cost of capital at time t,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, =</t>
    </r>
  </si>
  <si>
    <t>Sex</t>
  </si>
  <si>
    <t>M</t>
  </si>
  <si>
    <r>
      <t>of face amount</t>
    </r>
    <r>
      <rPr>
        <vertAlign val="subscript"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  <scheme val="minor"/>
      </rPr>
      <t xml:space="preserve"> +</t>
    </r>
  </si>
  <si>
    <t>Premium / 1000</t>
  </si>
  <si>
    <r>
      <t>of premium</t>
    </r>
    <r>
      <rPr>
        <vertAlign val="subscript"/>
        <sz val="11"/>
        <color theme="1"/>
        <rFont val="Calibri"/>
        <family val="2"/>
      </rPr>
      <t>t</t>
    </r>
  </si>
  <si>
    <t>Initial Face Amount</t>
  </si>
  <si>
    <r>
      <t>and cost of capital rate, r</t>
    </r>
    <r>
      <rPr>
        <vertAlign val="subscript"/>
        <sz val="11"/>
        <color theme="1"/>
        <rFont val="Calibri"/>
        <family val="2"/>
      </rPr>
      <t xml:space="preserve">c </t>
    </r>
    <r>
      <rPr>
        <sz val="11"/>
        <color theme="1"/>
        <rFont val="Calibri"/>
        <family val="2"/>
      </rPr>
      <t>,=</t>
    </r>
  </si>
  <si>
    <t>Surrender Value / 1000</t>
  </si>
  <si>
    <t>Best estimate Assumptions</t>
  </si>
  <si>
    <t>Discount Interest Rate</t>
  </si>
  <si>
    <t>Mortality as % of 2001 CSO</t>
  </si>
  <si>
    <t>Please calculate the interest discount rate using any of the following rates that are applicable.</t>
  </si>
  <si>
    <t>Mortality</t>
  </si>
  <si>
    <t>Lapses</t>
  </si>
  <si>
    <t>Commissions</t>
  </si>
  <si>
    <t>Risk free rate</t>
  </si>
  <si>
    <t>Acquisition</t>
  </si>
  <si>
    <t>Liquidity premium</t>
  </si>
  <si>
    <t>Maintenance per policy</t>
  </si>
  <si>
    <t>Credit spread</t>
  </si>
  <si>
    <t>Inflation</t>
  </si>
  <si>
    <t>S&amp;P 500 Return</t>
  </si>
  <si>
    <t>Tax Rate</t>
  </si>
  <si>
    <t xml:space="preserve">Discount Rate = </t>
  </si>
  <si>
    <t>Statutory</t>
  </si>
  <si>
    <t>Guaranteed Premium / 1000</t>
  </si>
  <si>
    <t>Valuation Rate</t>
  </si>
  <si>
    <t>Target Surplus - % premium</t>
  </si>
  <si>
    <t>Target Surplus - % reserves</t>
  </si>
  <si>
    <t>GAAP - Assumptions with PADs</t>
  </si>
  <si>
    <t>Investment return</t>
  </si>
  <si>
    <t>Maintenance Expenses</t>
  </si>
  <si>
    <t>% Acquisition Deferrable</t>
  </si>
  <si>
    <t>Best estimate Assumptions with Shocks</t>
  </si>
  <si>
    <t>Mortality Up</t>
  </si>
  <si>
    <t>Mortality Down</t>
  </si>
  <si>
    <t>Lapses Up</t>
  </si>
  <si>
    <t>Lapses Down</t>
  </si>
  <si>
    <t>Maintenance Expenses Up</t>
  </si>
  <si>
    <t>Maintenance Expenses Down</t>
  </si>
  <si>
    <t>Investment Return Down</t>
  </si>
  <si>
    <t>Investment Return Up</t>
  </si>
  <si>
    <t>GAAP - Shock Assumptions with PADs</t>
  </si>
  <si>
    <t>Investment return up</t>
  </si>
  <si>
    <t>Investment return down</t>
  </si>
  <si>
    <t>Mortality for Up Shocks</t>
  </si>
  <si>
    <t>Mortality for Down Shocks</t>
  </si>
  <si>
    <t>Lapses up 50%</t>
  </si>
  <si>
    <t>Lapses down 50%</t>
  </si>
  <si>
    <t>Ten Year Term Life Contract</t>
  </si>
  <si>
    <t>IASB Approach to margins</t>
  </si>
  <si>
    <t>FASB Approach to margins</t>
  </si>
  <si>
    <t>Statement of Comprehensive Income</t>
  </si>
  <si>
    <t>IASB Approach to Margins</t>
  </si>
  <si>
    <t>FASB Approach to Margins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</si>
  <si>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</si>
  <si>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</si>
  <si>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</si>
  <si>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</si>
  <si>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</si>
  <si>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</si>
  <si>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</si>
  <si>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</si>
  <si>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</si>
  <si>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</si>
  <si>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</t>
  </si>
  <si>
    <t xml:space="preserve">(a) Underwriting margin </t>
  </si>
  <si>
    <t>Change in risk adjustment</t>
  </si>
  <si>
    <t>Amortization of Residual Margin</t>
  </si>
  <si>
    <t>Amortization of Composite Margin</t>
  </si>
  <si>
    <t>Increase/Decrease of Residual Margin</t>
  </si>
  <si>
    <t>(b) Gains / losses at initial recognition</t>
  </si>
  <si>
    <t>Losses on insurance contracts acquired in a portfolio transfer</t>
  </si>
  <si>
    <t xml:space="preserve">Gains on reinsurance contracts bought by the cedant </t>
  </si>
  <si>
    <t>Losses at initial recognition of an insurance contract</t>
  </si>
  <si>
    <t xml:space="preserve">(c) Acquisition costs that are not incremental </t>
  </si>
  <si>
    <t>(d) Experience variances and changes in estimates</t>
  </si>
  <si>
    <t>Experience adjustments</t>
  </si>
  <si>
    <t>Changes in estimates of cash flows</t>
  </si>
  <si>
    <t>Changes in discount rates</t>
  </si>
  <si>
    <t>Impairment losses on reinsurance assets</t>
  </si>
  <si>
    <t xml:space="preserve">(e) Interest on insurance contract liabilities </t>
  </si>
  <si>
    <t>Income/expense from unit-linked contracts</t>
  </si>
  <si>
    <t>Gain/loss from assets underlying unit-linked contracts</t>
  </si>
  <si>
    <t>Profit / (loss) before Investment Income</t>
  </si>
  <si>
    <t>(f) Investment Income</t>
  </si>
  <si>
    <t>End of Year</t>
  </si>
  <si>
    <t>Insurance Inforce</t>
  </si>
  <si>
    <t>Mortality shock</t>
  </si>
  <si>
    <t>Best Estimate Cashflows</t>
  </si>
  <si>
    <t>Premium</t>
  </si>
  <si>
    <t>Benefits</t>
  </si>
  <si>
    <t>Acquisition Expense</t>
  </si>
  <si>
    <t>Maintenance Expense</t>
  </si>
  <si>
    <t>Total Fulfillment Cash Flows</t>
  </si>
  <si>
    <t>Cost of Capital</t>
  </si>
  <si>
    <t>Discount Rate</t>
  </si>
  <si>
    <t>IASB</t>
  </si>
  <si>
    <t>Time</t>
  </si>
  <si>
    <t>NPV of Premium</t>
  </si>
  <si>
    <t>Assume BOY</t>
  </si>
  <si>
    <t>NPV of Benefits</t>
  </si>
  <si>
    <t>NPV of Acquisition Expense</t>
  </si>
  <si>
    <t>NPV of Maintenance Expense</t>
  </si>
  <si>
    <t>NPV of Fulfilment Cash Flows</t>
  </si>
  <si>
    <t xml:space="preserve">Risk Adjustment  </t>
  </si>
  <si>
    <t>Residual Margin</t>
  </si>
  <si>
    <t>Total - 3 Building Blocks</t>
  </si>
  <si>
    <t>FASB</t>
  </si>
  <si>
    <t>Composite Margin</t>
  </si>
  <si>
    <t>Sum future Prem and Claims</t>
  </si>
  <si>
    <t>Comprehensive Income</t>
  </si>
  <si>
    <t>Increase mortality by 25%</t>
  </si>
  <si>
    <t>2001 CSO ALB</t>
  </si>
  <si>
    <t>Age</t>
  </si>
  <si>
    <t>Male</t>
  </si>
  <si>
    <t>Female</t>
  </si>
  <si>
    <t>Loss at Issue</t>
  </si>
  <si>
    <t>Net Income before (e) and (f)</t>
  </si>
  <si>
    <t>This is for illustration only.  For simplification purpose, we are not showing any investment income calculation.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</si>
</sst>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00_);_(* \(#,##0.0000\);_(* &quot;-&quot;??_);_(@_)"/>
    <numFmt numFmtId="168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bscript"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3E3E3E"/>
      <name val="Arial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rgb="FF002060"/>
      <name val="Arial"/>
      <family val="2"/>
    </font>
    <font>
      <sz val="16"/>
      <color rgb="FF00206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rgb="FF00206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9">
    <xf numFmtId="0" fontId="0" fillId="0" borderId="0" xfId="0"/>
    <xf numFmtId="0" fontId="3" fillId="2" borderId="0" xfId="20" applyFont="1" applyFill="1" applyBorder="1">
      <alignment/>
      <protection/>
    </xf>
    <xf numFmtId="164" fontId="0" fillId="2" borderId="0" xfId="18" applyNumberFormat="1" applyFont="1" applyFill="1"/>
    <xf numFmtId="0" fontId="0" fillId="2" borderId="0" xfId="0" applyFill="1"/>
    <xf numFmtId="0" fontId="4" fillId="3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164" fontId="2" fillId="2" borderId="0" xfId="18" applyNumberFormat="1" applyFont="1" applyFill="1" applyBorder="1"/>
    <xf numFmtId="164" fontId="2" fillId="2" borderId="0" xfId="18" applyNumberFormat="1" applyFont="1" applyFill="1"/>
    <xf numFmtId="0" fontId="7" fillId="2" borderId="0" xfId="0" applyFont="1" applyFill="1" applyBorder="1"/>
    <xf numFmtId="164" fontId="0" fillId="2" borderId="0" xfId="18" applyNumberFormat="1" applyFont="1" applyFill="1" applyBorder="1"/>
    <xf numFmtId="0" fontId="8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164" fontId="0" fillId="2" borderId="2" xfId="18" applyNumberFormat="1" applyFont="1" applyFill="1" applyBorder="1"/>
    <xf numFmtId="0" fontId="1" fillId="2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5" xfId="0" applyFill="1" applyBorder="1"/>
    <xf numFmtId="0" fontId="0" fillId="2" borderId="4" xfId="0" applyFill="1" applyBorder="1"/>
    <xf numFmtId="164" fontId="0" fillId="2" borderId="5" xfId="18" applyNumberFormat="1" applyFont="1" applyFill="1" applyBorder="1"/>
    <xf numFmtId="0" fontId="1" fillId="0" borderId="4" xfId="0" applyFont="1" applyBorder="1" applyAlignment="1">
      <alignment horizontal="left"/>
    </xf>
    <xf numFmtId="164" fontId="0" fillId="2" borderId="0" xfId="18" applyNumberFormat="1" applyFont="1" applyFill="1" applyBorder="1" applyAlignment="1">
      <alignment horizontal="right"/>
    </xf>
    <xf numFmtId="10" fontId="2" fillId="2" borderId="4" xfId="0" applyNumberFormat="1" applyFont="1" applyFill="1" applyBorder="1"/>
    <xf numFmtId="165" fontId="0" fillId="2" borderId="0" xfId="18" applyNumberFormat="1" applyFont="1" applyFill="1" applyBorder="1"/>
    <xf numFmtId="165" fontId="0" fillId="2" borderId="5" xfId="18" applyNumberFormat="1" applyFont="1" applyFill="1" applyBorder="1"/>
    <xf numFmtId="0" fontId="12" fillId="2" borderId="4" xfId="0" applyFont="1" applyFill="1" applyBorder="1"/>
    <xf numFmtId="0" fontId="0" fillId="2" borderId="6" xfId="0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2" borderId="0" xfId="0" applyNumberFormat="1" applyFill="1"/>
    <xf numFmtId="10" fontId="0" fillId="2" borderId="0" xfId="15" applyNumberFormat="1" applyFont="1" applyFill="1"/>
    <xf numFmtId="0" fontId="14" fillId="2" borderId="4" xfId="0" applyFont="1" applyFill="1" applyBorder="1"/>
    <xf numFmtId="167" fontId="0" fillId="2" borderId="0" xfId="18" applyNumberFormat="1" applyFont="1" applyFill="1" applyBorder="1"/>
    <xf numFmtId="167" fontId="0" fillId="2" borderId="5" xfId="18" applyNumberFormat="1" applyFont="1" applyFill="1" applyBorder="1"/>
    <xf numFmtId="167" fontId="0" fillId="2" borderId="0" xfId="18" applyNumberFormat="1" applyFont="1" applyFill="1"/>
    <xf numFmtId="9" fontId="0" fillId="2" borderId="0" xfId="15" applyFont="1" applyFill="1" applyBorder="1"/>
    <xf numFmtId="9" fontId="0" fillId="2" borderId="0" xfId="0" applyNumberFormat="1" applyFill="1" applyBorder="1"/>
    <xf numFmtId="9" fontId="0" fillId="2" borderId="5" xfId="0" applyNumberFormat="1" applyFill="1" applyBorder="1"/>
    <xf numFmtId="9" fontId="0" fillId="2" borderId="0" xfId="0" applyNumberFormat="1" applyFill="1"/>
    <xf numFmtId="0" fontId="15" fillId="2" borderId="4" xfId="0" applyFont="1" applyFill="1" applyBorder="1"/>
    <xf numFmtId="10" fontId="0" fillId="2" borderId="0" xfId="0" applyNumberFormat="1" applyFill="1" applyBorder="1"/>
    <xf numFmtId="10" fontId="0" fillId="2" borderId="0" xfId="15" applyNumberFormat="1" applyFont="1" applyFill="1" applyBorder="1"/>
    <xf numFmtId="9" fontId="0" fillId="2" borderId="7" xfId="15" applyFont="1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6" xfId="0" applyFont="1" applyFill="1" applyBorder="1"/>
    <xf numFmtId="0" fontId="7" fillId="2" borderId="0" xfId="0" applyFont="1" applyFill="1"/>
    <xf numFmtId="9" fontId="0" fillId="2" borderId="0" xfId="15" applyFont="1" applyFill="1"/>
    <xf numFmtId="168" fontId="0" fillId="2" borderId="0" xfId="18" applyNumberFormat="1" applyFont="1" applyFill="1"/>
    <xf numFmtId="166" fontId="0" fillId="2" borderId="0" xfId="15" applyNumberFormat="1" applyFont="1" applyFill="1"/>
    <xf numFmtId="165" fontId="1" fillId="2" borderId="0" xfId="18" applyNumberFormat="1" applyFont="1" applyFill="1"/>
    <xf numFmtId="0" fontId="16" fillId="2" borderId="0" xfId="0" applyFont="1" applyFill="1"/>
    <xf numFmtId="165" fontId="1" fillId="3" borderId="0" xfId="18" applyNumberFormat="1" applyFont="1" applyFill="1"/>
    <xf numFmtId="0" fontId="17" fillId="2" borderId="0" xfId="0" applyFont="1" applyFill="1"/>
    <xf numFmtId="165" fontId="18" fillId="2" borderId="0" xfId="18" applyNumberFormat="1" applyFont="1" applyFill="1"/>
    <xf numFmtId="165" fontId="1" fillId="2" borderId="0" xfId="18" applyNumberFormat="1" applyFont="1" applyFill="1" applyBorder="1"/>
    <xf numFmtId="165" fontId="20" fillId="4" borderId="9" xfId="18" applyNumberFormat="1" applyFont="1" applyFill="1" applyBorder="1"/>
    <xf numFmtId="165" fontId="19" fillId="5" borderId="0" xfId="18" applyNumberFormat="1" applyFont="1" applyFill="1"/>
    <xf numFmtId="165" fontId="22" fillId="2" borderId="10" xfId="18" applyNumberFormat="1" applyFont="1" applyFill="1" applyBorder="1"/>
    <xf numFmtId="165" fontId="1" fillId="2" borderId="11" xfId="18" applyNumberFormat="1" applyFont="1" applyFill="1" applyBorder="1"/>
    <xf numFmtId="165" fontId="1" fillId="2" borderId="12" xfId="18" applyNumberFormat="1" applyFont="1" applyFill="1" applyBorder="1" applyAlignment="1">
      <alignment horizontal="center"/>
    </xf>
    <xf numFmtId="165" fontId="21" fillId="2" borderId="13" xfId="18" applyNumberFormat="1" applyFont="1" applyFill="1" applyBorder="1" applyAlignment="1">
      <alignment horizontal="center"/>
    </xf>
    <xf numFmtId="165" fontId="21" fillId="2" borderId="0" xfId="18" applyNumberFormat="1" applyFont="1" applyFill="1" applyBorder="1" applyAlignment="1">
      <alignment horizontal="center"/>
    </xf>
    <xf numFmtId="165" fontId="1" fillId="2" borderId="14" xfId="18" applyNumberFormat="1" applyFont="1" applyFill="1" applyBorder="1" applyAlignment="1">
      <alignment horizontal="center" wrapText="1"/>
    </xf>
    <xf numFmtId="37" fontId="23" fillId="2" borderId="15" xfId="18" applyNumberFormat="1" applyFont="1" applyFill="1" applyBorder="1"/>
    <xf numFmtId="37" fontId="1" fillId="2" borderId="16" xfId="18" applyNumberFormat="1" applyFont="1" applyFill="1" applyBorder="1"/>
    <xf numFmtId="37" fontId="1" fillId="2" borderId="17" xfId="18" applyNumberFormat="1" applyFont="1" applyFill="1" applyBorder="1"/>
    <xf numFmtId="37" fontId="21" fillId="2" borderId="18" xfId="18" applyNumberFormat="1" applyFont="1" applyFill="1" applyBorder="1"/>
    <xf numFmtId="37" fontId="21" fillId="2" borderId="0" xfId="18" applyNumberFormat="1" applyFont="1" applyFill="1" applyBorder="1"/>
    <xf numFmtId="37" fontId="1" fillId="2" borderId="19" xfId="18" applyNumberFormat="1" applyFont="1" applyFill="1" applyBorder="1" applyAlignment="1">
      <alignment wrapText="1"/>
    </xf>
    <xf numFmtId="37" fontId="1" fillId="2" borderId="0" xfId="18" applyNumberFormat="1" applyFont="1" applyFill="1"/>
    <xf numFmtId="37" fontId="21" fillId="2" borderId="19" xfId="18" applyNumberFormat="1" applyFont="1" applyFill="1" applyBorder="1" applyAlignment="1">
      <alignment wrapText="1"/>
    </xf>
    <xf numFmtId="37" fontId="1" fillId="6" borderId="16" xfId="18" applyNumberFormat="1" applyFont="1" applyFill="1" applyBorder="1"/>
    <xf numFmtId="37" fontId="1" fillId="6" borderId="17" xfId="18" applyNumberFormat="1" applyFont="1" applyFill="1" applyBorder="1"/>
    <xf numFmtId="43" fontId="1" fillId="6" borderId="17" xfId="18" applyFont="1" applyFill="1" applyBorder="1"/>
    <xf numFmtId="37" fontId="1" fillId="2" borderId="19" xfId="18" applyNumberFormat="1" applyFont="1" applyFill="1" applyBorder="1" applyAlignment="1">
      <alignment horizontal="left" wrapText="1" indent="1"/>
    </xf>
    <xf numFmtId="37" fontId="24" fillId="2" borderId="20" xfId="18" applyNumberFormat="1" applyFont="1" applyFill="1" applyBorder="1" applyAlignment="1">
      <alignment horizontal="left" wrapText="1" readingOrder="1"/>
    </xf>
    <xf numFmtId="37" fontId="25" fillId="2" borderId="15" xfId="18" applyNumberFormat="1" applyFont="1" applyFill="1" applyBorder="1" applyAlignment="1">
      <alignment horizontal="left" wrapText="1" indent="1" readingOrder="1"/>
    </xf>
    <xf numFmtId="37" fontId="26" fillId="2" borderId="21" xfId="18" applyNumberFormat="1" applyFont="1" applyFill="1" applyBorder="1" applyAlignment="1">
      <alignment horizontal="left" wrapText="1" indent="1" readingOrder="1"/>
    </xf>
    <xf numFmtId="37" fontId="1" fillId="2" borderId="22" xfId="18" applyNumberFormat="1" applyFont="1" applyFill="1" applyBorder="1"/>
    <xf numFmtId="37" fontId="1" fillId="2" borderId="23" xfId="18" applyNumberFormat="1" applyFont="1" applyFill="1" applyBorder="1"/>
    <xf numFmtId="37" fontId="21" fillId="2" borderId="24" xfId="18" applyNumberFormat="1" applyFont="1" applyFill="1" applyBorder="1"/>
    <xf numFmtId="37" fontId="21" fillId="2" borderId="25" xfId="18" applyNumberFormat="1" applyFont="1" applyFill="1" applyBorder="1"/>
    <xf numFmtId="0" fontId="27" fillId="2" borderId="26" xfId="20" applyFont="1" applyFill="1" applyBorder="1">
      <alignment/>
      <protection/>
    </xf>
    <xf numFmtId="0" fontId="27" fillId="2" borderId="27" xfId="20" applyFont="1" applyFill="1" applyBorder="1">
      <alignment/>
      <protection/>
    </xf>
    <xf numFmtId="0" fontId="27" fillId="2" borderId="28" xfId="20" applyFont="1" applyFill="1" applyBorder="1">
      <alignment/>
      <protection/>
    </xf>
    <xf numFmtId="165" fontId="28" fillId="2" borderId="0" xfId="18" applyNumberFormat="1" applyFont="1" applyFill="1"/>
    <xf numFmtId="0" fontId="28" fillId="2" borderId="14" xfId="20" applyFont="1" applyFill="1" applyBorder="1">
      <alignment/>
      <protection/>
    </xf>
    <xf numFmtId="164" fontId="28" fillId="2" borderId="12" xfId="18" applyNumberFormat="1" applyFont="1" applyFill="1" applyBorder="1"/>
    <xf numFmtId="164" fontId="28" fillId="2" borderId="13" xfId="18" applyNumberFormat="1" applyFont="1" applyFill="1" applyBorder="1"/>
    <xf numFmtId="165" fontId="27" fillId="2" borderId="29" xfId="18" applyNumberFormat="1" applyFont="1" applyFill="1" applyBorder="1"/>
    <xf numFmtId="9" fontId="27" fillId="2" borderId="30" xfId="15" applyFont="1" applyFill="1" applyBorder="1"/>
    <xf numFmtId="165" fontId="28" fillId="2" borderId="30" xfId="18" applyNumberFormat="1" applyFont="1" applyFill="1" applyBorder="1"/>
    <xf numFmtId="165" fontId="28" fillId="2" borderId="31" xfId="18" applyNumberFormat="1" applyFont="1" applyFill="1" applyBorder="1"/>
    <xf numFmtId="164" fontId="22" fillId="2" borderId="0" xfId="18" applyNumberFormat="1" applyFont="1" applyFill="1"/>
    <xf numFmtId="164" fontId="22" fillId="2" borderId="14" xfId="18" applyNumberFormat="1" applyFont="1" applyFill="1" applyBorder="1"/>
    <xf numFmtId="164" fontId="22" fillId="2" borderId="12" xfId="18" applyNumberFormat="1" applyFont="1" applyFill="1" applyBorder="1"/>
    <xf numFmtId="164" fontId="22" fillId="2" borderId="13" xfId="18" applyNumberFormat="1" applyFont="1" applyFill="1" applyBorder="1"/>
    <xf numFmtId="165" fontId="22" fillId="2" borderId="0" xfId="18" applyNumberFormat="1" applyFont="1" applyFill="1"/>
    <xf numFmtId="165" fontId="22" fillId="2" borderId="19" xfId="18" applyNumberFormat="1" applyFont="1" applyFill="1" applyBorder="1"/>
    <xf numFmtId="37" fontId="23" fillId="2" borderId="17" xfId="18" applyNumberFormat="1" applyFont="1" applyFill="1" applyBorder="1"/>
    <xf numFmtId="37" fontId="23" fillId="2" borderId="18" xfId="18" applyNumberFormat="1" applyFont="1" applyFill="1" applyBorder="1"/>
    <xf numFmtId="165" fontId="22" fillId="2" borderId="25" xfId="18" applyNumberFormat="1" applyFont="1" applyFill="1" applyBorder="1"/>
    <xf numFmtId="37" fontId="23" fillId="2" borderId="23" xfId="18" applyNumberFormat="1" applyFont="1" applyFill="1" applyBorder="1"/>
    <xf numFmtId="37" fontId="23" fillId="2" borderId="24" xfId="18" applyNumberFormat="1" applyFont="1" applyFill="1" applyBorder="1"/>
    <xf numFmtId="165" fontId="22" fillId="2" borderId="29" xfId="18" applyNumberFormat="1" applyFont="1" applyFill="1" applyBorder="1"/>
    <xf numFmtId="37" fontId="22" fillId="2" borderId="32" xfId="18" applyNumberFormat="1" applyFont="1" applyFill="1" applyBorder="1"/>
    <xf numFmtId="37" fontId="22" fillId="2" borderId="33" xfId="18" applyNumberFormat="1" applyFont="1" applyFill="1" applyBorder="1"/>
    <xf numFmtId="165" fontId="27" fillId="2" borderId="34" xfId="18" applyNumberFormat="1" applyFont="1" applyFill="1" applyBorder="1"/>
    <xf numFmtId="164" fontId="22" fillId="2" borderId="27" xfId="18" applyNumberFormat="1" applyFont="1" applyFill="1" applyBorder="1"/>
    <xf numFmtId="164" fontId="22" fillId="2" borderId="28" xfId="18" applyNumberFormat="1" applyFont="1" applyFill="1" applyBorder="1"/>
    <xf numFmtId="165" fontId="27" fillId="2" borderId="0" xfId="18" applyNumberFormat="1" applyFont="1" applyFill="1"/>
    <xf numFmtId="165" fontId="29" fillId="2" borderId="0" xfId="18" applyNumberFormat="1" applyFont="1" applyFill="1"/>
    <xf numFmtId="165" fontId="30" fillId="2" borderId="0" xfId="18" applyNumberFormat="1" applyFont="1" applyFill="1"/>
    <xf numFmtId="10" fontId="30" fillId="2" borderId="0" xfId="15" applyNumberFormat="1" applyFont="1" applyFill="1"/>
    <xf numFmtId="0" fontId="31" fillId="2" borderId="0" xfId="0" applyFont="1" applyFill="1"/>
    <xf numFmtId="165" fontId="27" fillId="2" borderId="14" xfId="18" applyNumberFormat="1" applyFont="1" applyFill="1" applyBorder="1"/>
    <xf numFmtId="0" fontId="27" fillId="2" borderId="12" xfId="18" applyNumberFormat="1" applyFont="1" applyFill="1" applyBorder="1"/>
    <xf numFmtId="164" fontId="27" fillId="2" borderId="12" xfId="18" applyNumberFormat="1" applyFont="1" applyFill="1" applyBorder="1"/>
    <xf numFmtId="164" fontId="27" fillId="2" borderId="13" xfId="18" applyNumberFormat="1" applyFont="1" applyFill="1" applyBorder="1"/>
    <xf numFmtId="165" fontId="28" fillId="2" borderId="19" xfId="18" applyNumberFormat="1" applyFont="1" applyFill="1" applyBorder="1"/>
    <xf numFmtId="37" fontId="28" fillId="2" borderId="17" xfId="18" applyNumberFormat="1" applyFont="1" applyFill="1" applyBorder="1"/>
    <xf numFmtId="37" fontId="28" fillId="2" borderId="18" xfId="18" applyNumberFormat="1" applyFont="1" applyFill="1" applyBorder="1"/>
    <xf numFmtId="165" fontId="21" fillId="2" borderId="0" xfId="18" applyNumberFormat="1" applyFont="1" applyFill="1"/>
    <xf numFmtId="0" fontId="23" fillId="2" borderId="0" xfId="0" applyFont="1" applyFill="1"/>
    <xf numFmtId="37" fontId="28" fillId="6" borderId="17" xfId="18" applyNumberFormat="1" applyFont="1" applyFill="1" applyBorder="1"/>
    <xf numFmtId="37" fontId="28" fillId="6" borderId="18" xfId="18" applyNumberFormat="1" applyFont="1" applyFill="1" applyBorder="1"/>
    <xf numFmtId="165" fontId="27" fillId="2" borderId="25" xfId="18" applyNumberFormat="1" applyFont="1" applyFill="1" applyBorder="1"/>
    <xf numFmtId="37" fontId="27" fillId="6" borderId="23" xfId="18" applyNumberFormat="1" applyFont="1" applyFill="1" applyBorder="1"/>
    <xf numFmtId="37" fontId="27" fillId="6" borderId="24" xfId="18" applyNumberFormat="1" applyFont="1" applyFill="1" applyBorder="1"/>
    <xf numFmtId="37" fontId="28" fillId="2" borderId="0" xfId="18" applyNumberFormat="1" applyFont="1" applyFill="1"/>
    <xf numFmtId="37" fontId="27" fillId="2" borderId="0" xfId="18" applyNumberFormat="1" applyFont="1" applyFill="1"/>
    <xf numFmtId="165" fontId="27" fillId="2" borderId="19" xfId="18" applyNumberFormat="1" applyFont="1" applyFill="1" applyBorder="1"/>
    <xf numFmtId="165" fontId="28" fillId="2" borderId="25" xfId="18" applyNumberFormat="1" applyFont="1" applyFill="1" applyBorder="1"/>
    <xf numFmtId="165" fontId="28" fillId="2" borderId="0" xfId="18" applyNumberFormat="1" applyFont="1" applyFill="1" applyBorder="1"/>
    <xf numFmtId="37" fontId="24" fillId="2" borderId="17" xfId="18" applyNumberFormat="1" applyFont="1" applyFill="1" applyBorder="1" applyAlignment="1">
      <alignment horizontal="left" wrapText="1" readingOrder="1"/>
    </xf>
    <xf numFmtId="0" fontId="1" fillId="0" borderId="0" xfId="20">
      <alignment/>
      <protection/>
    </xf>
    <xf numFmtId="0" fontId="21" fillId="0" borderId="35" xfId="20" applyFont="1" applyBorder="1" applyAlignment="1">
      <alignment horizontal="center"/>
      <protection/>
    </xf>
    <xf numFmtId="0" fontId="21" fillId="0" borderId="36" xfId="20" applyFont="1" applyBorder="1" applyAlignment="1">
      <alignment horizontal="center"/>
      <protection/>
    </xf>
    <xf numFmtId="0" fontId="21" fillId="0" borderId="37" xfId="20" applyFont="1" applyBorder="1">
      <alignment/>
      <protection/>
    </xf>
    <xf numFmtId="0" fontId="1" fillId="0" borderId="35" xfId="20" applyBorder="1" applyAlignment="1">
      <alignment horizontal="center"/>
      <protection/>
    </xf>
    <xf numFmtId="0" fontId="1" fillId="0" borderId="4" xfId="20" applyBorder="1" applyAlignment="1">
      <alignment horizontal="center"/>
      <protection/>
    </xf>
    <xf numFmtId="0" fontId="1" fillId="0" borderId="38" xfId="20" applyBorder="1">
      <alignment/>
      <protection/>
    </xf>
    <xf numFmtId="0" fontId="1" fillId="0" borderId="29" xfId="20" applyBorder="1" applyAlignment="1">
      <alignment horizontal="center"/>
      <protection/>
    </xf>
    <xf numFmtId="0" fontId="1" fillId="0" borderId="39" xfId="20" applyBorder="1" applyAlignment="1">
      <alignment horizontal="center"/>
      <protection/>
    </xf>
    <xf numFmtId="0" fontId="1" fillId="0" borderId="33" xfId="20" applyBorder="1">
      <alignment/>
      <protection/>
    </xf>
    <xf numFmtId="10" fontId="2" fillId="0" borderId="7" xfId="0" applyNumberFormat="1" applyFont="1" applyFill="1" applyBorder="1"/>
    <xf numFmtId="10" fontId="27" fillId="0" borderId="0" xfId="15" applyNumberFormat="1" applyFont="1" applyFill="1"/>
    <xf numFmtId="37" fontId="1" fillId="0" borderId="17" xfId="18" applyNumberFormat="1" applyFont="1" applyFill="1" applyBorder="1"/>
    <xf numFmtId="37" fontId="1" fillId="6" borderId="20" xfId="18" applyNumberFormat="1" applyFont="1" applyFill="1" applyBorder="1"/>
    <xf numFmtId="164" fontId="1" fillId="6" borderId="17" xfId="18" applyNumberFormat="1" applyFont="1" applyFill="1" applyBorder="1"/>
    <xf numFmtId="37" fontId="28" fillId="0" borderId="17" xfId="18" applyNumberFormat="1" applyFont="1" applyFill="1" applyBorder="1"/>
    <xf numFmtId="37" fontId="28" fillId="0" borderId="18" xfId="18" applyNumberFormat="1" applyFont="1" applyFill="1" applyBorder="1"/>
    <xf numFmtId="37" fontId="28" fillId="0" borderId="23" xfId="18" applyNumberFormat="1" applyFont="1" applyFill="1" applyBorder="1"/>
    <xf numFmtId="37" fontId="28" fillId="0" borderId="24" xfId="18" applyNumberFormat="1" applyFont="1" applyFill="1" applyBorder="1"/>
    <xf numFmtId="37" fontId="27" fillId="0" borderId="23" xfId="18" applyNumberFormat="1" applyFont="1" applyFill="1" applyBorder="1"/>
    <xf numFmtId="165" fontId="21" fillId="2" borderId="34" xfId="18" applyNumberFormat="1" applyFont="1" applyFill="1" applyBorder="1"/>
    <xf numFmtId="0" fontId="4" fillId="6" borderId="0" xfId="0" applyFont="1" applyFill="1"/>
    <xf numFmtId="164" fontId="5" fillId="6" borderId="0" xfId="18" applyNumberFormat="1" applyFont="1" applyFill="1" applyBorder="1"/>
    <xf numFmtId="0" fontId="6" fillId="6" borderId="0" xfId="0" applyFont="1" applyFill="1" applyBorder="1"/>
    <xf numFmtId="0" fontId="0" fillId="6" borderId="0" xfId="0" applyFill="1" applyBorder="1"/>
    <xf numFmtId="166" fontId="0" fillId="2" borderId="2" xfId="15" applyNumberFormat="1" applyFont="1" applyFill="1" applyBorder="1"/>
    <xf numFmtId="0" fontId="13" fillId="0" borderId="0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37" fontId="25" fillId="2" borderId="15" xfId="18" applyNumberFormat="1" applyFont="1" applyFill="1" applyBorder="1" applyAlignment="1">
      <alignment horizontal="left" wrapText="1" indent="1" readingOrder="1"/>
    </xf>
    <xf numFmtId="37" fontId="25" fillId="2" borderId="16" xfId="18" applyNumberFormat="1" applyFont="1" applyFill="1" applyBorder="1" applyAlignment="1">
      <alignment horizontal="left" wrapText="1" indent="1" readingOrder="1"/>
    </xf>
    <xf numFmtId="165" fontId="19" fillId="5" borderId="30" xfId="18" applyNumberFormat="1" applyFont="1" applyFill="1" applyBorder="1" applyAlignment="1">
      <alignment horizontal="center"/>
    </xf>
    <xf numFmtId="37" fontId="24" fillId="2" borderId="40" xfId="18" applyNumberFormat="1" applyFont="1" applyFill="1" applyBorder="1" applyAlignment="1">
      <alignment horizontal="left" wrapText="1" readingOrder="1"/>
    </xf>
    <xf numFmtId="37" fontId="24" fillId="2" borderId="3" xfId="18" applyNumberFormat="1" applyFont="1" applyFill="1" applyBorder="1" applyAlignment="1">
      <alignment horizontal="left" wrapText="1" readingOrder="1"/>
    </xf>
    <xf numFmtId="37" fontId="24" fillId="2" borderId="15" xfId="18" applyNumberFormat="1" applyFont="1" applyFill="1" applyBorder="1" applyAlignment="1">
      <alignment horizontal="left" wrapText="1" readingOrder="1"/>
    </xf>
    <xf numFmtId="37" fontId="24" fillId="2" borderId="16" xfId="18" applyNumberFormat="1" applyFont="1" applyFill="1" applyBorder="1" applyAlignment="1">
      <alignment horizontal="left" wrapText="1" readingOrder="1"/>
    </xf>
    <xf numFmtId="37" fontId="24" fillId="2" borderId="2" xfId="18" applyNumberFormat="1" applyFont="1" applyFill="1" applyBorder="1" applyAlignment="1">
      <alignment horizontal="left" wrapText="1" readingOrder="1"/>
    </xf>
    <xf numFmtId="0" fontId="21" fillId="7" borderId="41" xfId="20" applyFont="1" applyFill="1" applyBorder="1" applyAlignment="1">
      <alignment horizontal="center"/>
      <protection/>
    </xf>
    <xf numFmtId="0" fontId="21" fillId="7" borderId="42" xfId="20" applyFont="1" applyFill="1" applyBorder="1" applyAlignment="1">
      <alignment horizontal="center"/>
      <protection/>
    </xf>
    <xf numFmtId="0" fontId="21" fillId="7" borderId="43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uston\AppData\Local\Microsoft\Windows\Temporary%20Internet%20Files\Content.Outlook\NX040AGB\KKR%20Product%20Examples%20-%20Whole%20Life%201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L - IS for Slides"/>
      <sheetName val="WL - BS for Slides"/>
      <sheetName val="Whole Life - Control"/>
      <sheetName val="Whole Life - Product Stats"/>
      <sheetName val="Whole Life - Stat"/>
      <sheetName val="Whole Life - GAAP"/>
      <sheetName val="Stat to GAAP rollforward"/>
      <sheetName val="2001 CSO"/>
    </sheetNames>
    <sheetDataSet>
      <sheetData sheetId="0" refreshError="1"/>
      <sheetData sheetId="1" refreshError="1"/>
      <sheetData sheetId="2">
        <row r="6">
          <cell r="C6">
            <v>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SheetLayoutView="100" workbookViewId="0" topLeftCell="A1">
      <pane xSplit="2" ySplit="3" topLeftCell="C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H17" sqref="H17"/>
    </sheetView>
  </sheetViews>
  <sheetFormatPr defaultColWidth="9.140625" defaultRowHeight="15"/>
  <cols>
    <col min="1" max="1" width="2.7109375" style="3" customWidth="1"/>
    <col min="2" max="2" width="33.57421875" style="3" customWidth="1"/>
    <col min="3" max="4" width="10.8515625" style="2" bestFit="1" customWidth="1"/>
    <col min="5" max="12" width="10.57421875" style="3" bestFit="1" customWidth="1"/>
    <col min="13" max="13" width="2.7109375" style="3" customWidth="1"/>
    <col min="14" max="16" width="9.140625" style="3" customWidth="1"/>
    <col min="17" max="17" width="12.140625" style="3" customWidth="1"/>
    <col min="18" max="18" width="2.57421875" style="3" customWidth="1"/>
    <col min="19" max="16384" width="9.140625" style="3" customWidth="1"/>
  </cols>
  <sheetData>
    <row r="1" ht="21.75" customHeight="1">
      <c r="B1" s="1" t="s">
        <v>0</v>
      </c>
    </row>
    <row r="2" spans="2:12" ht="21" customHeight="1">
      <c r="B2" s="158" t="s">
        <v>129</v>
      </c>
      <c r="C2" s="159"/>
      <c r="D2" s="159"/>
      <c r="E2" s="160"/>
      <c r="F2" s="161"/>
      <c r="G2" s="161"/>
      <c r="H2" s="161"/>
      <c r="I2" s="161"/>
      <c r="J2" s="161"/>
      <c r="K2" s="161"/>
      <c r="L2" s="161"/>
    </row>
    <row r="3" spans="2:14" ht="16.5" customHeight="1">
      <c r="B3" s="6" t="s">
        <v>2</v>
      </c>
      <c r="C3" s="7">
        <v>1</v>
      </c>
      <c r="D3" s="7">
        <f>C3+1</f>
        <v>2</v>
      </c>
      <c r="E3" s="7">
        <f aca="true" t="shared" si="0" ref="E3:L3">D3+1</f>
        <v>3</v>
      </c>
      <c r="F3" s="7">
        <f t="shared" si="0"/>
        <v>4</v>
      </c>
      <c r="G3" s="7">
        <f t="shared" si="0"/>
        <v>5</v>
      </c>
      <c r="H3" s="7">
        <f t="shared" si="0"/>
        <v>6</v>
      </c>
      <c r="I3" s="7">
        <f t="shared" si="0"/>
        <v>7</v>
      </c>
      <c r="J3" s="7">
        <f t="shared" si="0"/>
        <v>8</v>
      </c>
      <c r="K3" s="7">
        <f t="shared" si="0"/>
        <v>9</v>
      </c>
      <c r="L3" s="7">
        <f t="shared" si="0"/>
        <v>10</v>
      </c>
      <c r="M3" s="8"/>
      <c r="N3" s="9" t="s">
        <v>3</v>
      </c>
    </row>
    <row r="4" spans="2:17" ht="18.75">
      <c r="B4" s="9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2"/>
      <c r="N4" s="11" t="s">
        <v>5</v>
      </c>
      <c r="O4" s="12"/>
      <c r="P4" s="12"/>
      <c r="Q4" s="13"/>
    </row>
    <row r="5" spans="2:17" ht="15.75">
      <c r="B5" s="14" t="s">
        <v>6</v>
      </c>
      <c r="C5" s="15">
        <v>45</v>
      </c>
      <c r="D5" s="15"/>
      <c r="E5" s="12"/>
      <c r="F5" s="12"/>
      <c r="G5" s="15"/>
      <c r="H5" s="15"/>
      <c r="I5" s="12"/>
      <c r="J5" s="12"/>
      <c r="K5" s="12"/>
      <c r="L5" s="13"/>
      <c r="N5" s="16" t="s">
        <v>7</v>
      </c>
      <c r="O5" s="17"/>
      <c r="P5" s="17"/>
      <c r="Q5" s="18"/>
    </row>
    <row r="6" spans="2:17" ht="15.75">
      <c r="B6" s="19" t="s">
        <v>8</v>
      </c>
      <c r="C6" s="10">
        <v>10</v>
      </c>
      <c r="D6" s="10"/>
      <c r="E6" s="10"/>
      <c r="F6" s="10"/>
      <c r="G6" s="10"/>
      <c r="H6" s="10"/>
      <c r="I6" s="10"/>
      <c r="J6" s="10"/>
      <c r="K6" s="10"/>
      <c r="L6" s="20"/>
      <c r="M6" s="2"/>
      <c r="N6" s="21" t="s">
        <v>9</v>
      </c>
      <c r="O6" s="17"/>
      <c r="P6" s="17"/>
      <c r="Q6" s="18"/>
    </row>
    <row r="7" spans="2:17" ht="18">
      <c r="B7" s="19" t="s">
        <v>10</v>
      </c>
      <c r="C7" s="22" t="s">
        <v>11</v>
      </c>
      <c r="D7" s="10"/>
      <c r="E7" s="10"/>
      <c r="F7" s="10"/>
      <c r="G7" s="10"/>
      <c r="H7" s="10"/>
      <c r="I7" s="10"/>
      <c r="J7" s="10"/>
      <c r="K7" s="10"/>
      <c r="L7" s="20"/>
      <c r="M7" s="2"/>
      <c r="N7" s="23">
        <v>0.0018</v>
      </c>
      <c r="O7" s="5" t="s">
        <v>12</v>
      </c>
      <c r="P7" s="5"/>
      <c r="Q7" s="18"/>
    </row>
    <row r="8" spans="2:17" ht="15" customHeight="1">
      <c r="B8" s="19" t="s">
        <v>13</v>
      </c>
      <c r="C8" s="24">
        <v>4.5</v>
      </c>
      <c r="D8" s="24">
        <f>C8</f>
        <v>4.5</v>
      </c>
      <c r="E8" s="24">
        <f aca="true" t="shared" si="1" ref="E8:L8">D8</f>
        <v>4.5</v>
      </c>
      <c r="F8" s="24">
        <f t="shared" si="1"/>
        <v>4.5</v>
      </c>
      <c r="G8" s="24">
        <f t="shared" si="1"/>
        <v>4.5</v>
      </c>
      <c r="H8" s="24">
        <f t="shared" si="1"/>
        <v>4.5</v>
      </c>
      <c r="I8" s="24">
        <f t="shared" si="1"/>
        <v>4.5</v>
      </c>
      <c r="J8" s="24">
        <f t="shared" si="1"/>
        <v>4.5</v>
      </c>
      <c r="K8" s="24">
        <f t="shared" si="1"/>
        <v>4.5</v>
      </c>
      <c r="L8" s="25">
        <f t="shared" si="1"/>
        <v>4.5</v>
      </c>
      <c r="M8" s="2"/>
      <c r="N8" s="23">
        <v>0.0616</v>
      </c>
      <c r="O8" s="5" t="s">
        <v>14</v>
      </c>
      <c r="P8" s="5"/>
      <c r="Q8" s="18"/>
    </row>
    <row r="9" spans="2:17" ht="15" customHeight="1">
      <c r="B9" s="19" t="s">
        <v>15</v>
      </c>
      <c r="C9" s="10">
        <v>50000</v>
      </c>
      <c r="D9" s="10"/>
      <c r="E9" s="5"/>
      <c r="F9" s="5"/>
      <c r="G9" s="5"/>
      <c r="H9" s="5"/>
      <c r="I9" s="5"/>
      <c r="J9" s="5"/>
      <c r="K9" s="5"/>
      <c r="L9" s="18"/>
      <c r="N9" s="26" t="s">
        <v>16</v>
      </c>
      <c r="O9" s="5"/>
      <c r="P9" s="5"/>
      <c r="Q9" s="18"/>
    </row>
    <row r="10" spans="2:17" ht="15">
      <c r="B10" s="27" t="s">
        <v>17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30"/>
      <c r="N10" s="23">
        <v>0.06</v>
      </c>
      <c r="O10" s="163"/>
      <c r="P10" s="163"/>
      <c r="Q10" s="164"/>
    </row>
    <row r="11" spans="2:17" ht="15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"/>
      <c r="N11" s="27"/>
      <c r="O11" s="165"/>
      <c r="P11" s="165"/>
      <c r="Q11" s="166"/>
    </row>
    <row r="12" spans="2:17" ht="18.75">
      <c r="B12" s="9" t="s">
        <v>18</v>
      </c>
      <c r="C12" s="10"/>
      <c r="D12" s="10"/>
      <c r="E12" s="5"/>
      <c r="F12" s="5"/>
      <c r="G12" s="5"/>
      <c r="H12" s="5"/>
      <c r="I12" s="5"/>
      <c r="J12" s="5"/>
      <c r="K12" s="5"/>
      <c r="L12" s="5"/>
      <c r="N12" s="14"/>
      <c r="O12" s="12"/>
      <c r="P12" s="12"/>
      <c r="Q12" s="13"/>
    </row>
    <row r="13" spans="2:17" ht="15">
      <c r="B13" s="14" t="s">
        <v>20</v>
      </c>
      <c r="C13" s="162">
        <v>0.75</v>
      </c>
      <c r="D13" s="15"/>
      <c r="E13" s="12"/>
      <c r="F13" s="12"/>
      <c r="G13" s="12"/>
      <c r="H13" s="12"/>
      <c r="I13" s="12"/>
      <c r="J13" s="12"/>
      <c r="K13" s="12"/>
      <c r="L13" s="13"/>
      <c r="M13" s="31"/>
      <c r="N13" s="32" t="s">
        <v>19</v>
      </c>
      <c r="O13" s="5"/>
      <c r="P13" s="5"/>
      <c r="Q13" s="18"/>
    </row>
    <row r="14" spans="2:17" ht="15">
      <c r="B14" s="19" t="s">
        <v>22</v>
      </c>
      <c r="C14" s="33">
        <f>IF(IssAge+C3-1&gt;=120,1,VLOOKUP(IssAge+C3-1,'2001 CSO'!$B$4:$C$124,2)*BestEstMortPerc)</f>
        <v>0.0020775</v>
      </c>
      <c r="D14" s="33">
        <f>IF(IssAge+D3-1&gt;=120,1,VLOOKUP(IssAge+D3-1,'2001 CSO'!$B$4:$C$124,2)*BestEstMortPerc)</f>
        <v>0.0022725</v>
      </c>
      <c r="E14" s="33">
        <f>IF(IssAge+E3-1&gt;=120,1,VLOOKUP(IssAge+E3-1,'2001 CSO'!$B$4:$C$124,2)*BestEstMortPerc)</f>
        <v>0.0024375</v>
      </c>
      <c r="F14" s="33">
        <f>IF(IssAge+F3-1&gt;=120,1,VLOOKUP(IssAge+F3-1,'2001 CSO'!$B$4:$C$124,2)*BestEstMortPerc)</f>
        <v>0.002565</v>
      </c>
      <c r="G14" s="33">
        <f>IF(IssAge+G3-1&gt;=120,1,VLOOKUP(IssAge+G3-1,'2001 CSO'!$B$4:$C$124,2)*BestEstMortPerc)</f>
        <v>0.00273</v>
      </c>
      <c r="H14" s="33">
        <f>IF(IssAge+H3-1&gt;=120,1,VLOOKUP(IssAge+H3-1,'2001 CSO'!$B$4:$C$124,2)*BestEstMortPerc)</f>
        <v>0.0029325</v>
      </c>
      <c r="I14" s="33">
        <f>IF(IssAge+I3-1&gt;=120,1,VLOOKUP(IssAge+I3-1,'2001 CSO'!$B$4:$C$124,2)*BestEstMortPerc)</f>
        <v>0.003195</v>
      </c>
      <c r="J14" s="33">
        <f>IF(IssAge+J3-1&gt;=120,1,VLOOKUP(IssAge+J3-1,'2001 CSO'!$B$4:$C$124,2)*BestEstMortPerc)</f>
        <v>0.0035250000000000004</v>
      </c>
      <c r="K14" s="33">
        <f>IF(IssAge+K3-1&gt;=120,1,VLOOKUP(IssAge+K3-1,'2001 CSO'!$B$4:$C$124,2)*BestEstMortPerc)</f>
        <v>0.0039075</v>
      </c>
      <c r="L14" s="34">
        <f>IF(IssAge+L3-1&gt;=120,1,VLOOKUP(IssAge+L3-1,'2001 CSO'!$B$4:$C$124,2)*BestEstMortPerc)</f>
        <v>0.0043725</v>
      </c>
      <c r="N14" s="167" t="s">
        <v>21</v>
      </c>
      <c r="O14" s="163"/>
      <c r="P14" s="163"/>
      <c r="Q14" s="164"/>
    </row>
    <row r="15" spans="2:17" ht="15">
      <c r="B15" s="19" t="s">
        <v>23</v>
      </c>
      <c r="C15" s="33">
        <v>0.05</v>
      </c>
      <c r="D15" s="33">
        <v>0.05</v>
      </c>
      <c r="E15" s="33">
        <v>0.05</v>
      </c>
      <c r="F15" s="33">
        <v>0.05</v>
      </c>
      <c r="G15" s="33">
        <v>0.05</v>
      </c>
      <c r="H15" s="33">
        <v>0.05</v>
      </c>
      <c r="I15" s="33">
        <v>0.05</v>
      </c>
      <c r="J15" s="33">
        <v>0.05</v>
      </c>
      <c r="K15" s="33">
        <v>0.05</v>
      </c>
      <c r="L15" s="34">
        <v>1</v>
      </c>
      <c r="M15" s="35"/>
      <c r="N15" s="167"/>
      <c r="O15" s="163"/>
      <c r="P15" s="163"/>
      <c r="Q15" s="164"/>
    </row>
    <row r="16" spans="2:17" ht="15">
      <c r="B16" s="19" t="s">
        <v>24</v>
      </c>
      <c r="C16" s="36">
        <v>0.75</v>
      </c>
      <c r="D16" s="36">
        <v>0.05</v>
      </c>
      <c r="E16" s="37">
        <v>0.05</v>
      </c>
      <c r="F16" s="37">
        <v>0.05</v>
      </c>
      <c r="G16" s="37">
        <v>0.05</v>
      </c>
      <c r="H16" s="37">
        <v>0.05</v>
      </c>
      <c r="I16" s="37">
        <v>0.05</v>
      </c>
      <c r="J16" s="37">
        <v>0.05</v>
      </c>
      <c r="K16" s="37">
        <v>0.05</v>
      </c>
      <c r="L16" s="38">
        <v>0.05</v>
      </c>
      <c r="M16" s="35"/>
      <c r="N16" s="167"/>
      <c r="O16" s="163"/>
      <c r="P16" s="163"/>
      <c r="Q16" s="164"/>
    </row>
    <row r="17" spans="2:17" ht="15">
      <c r="B17" s="19" t="s">
        <v>26</v>
      </c>
      <c r="C17" s="10">
        <v>75</v>
      </c>
      <c r="D17" s="10"/>
      <c r="E17" s="10"/>
      <c r="F17" s="10"/>
      <c r="G17" s="10"/>
      <c r="H17" s="10"/>
      <c r="I17" s="10"/>
      <c r="J17" s="10"/>
      <c r="K17" s="10"/>
      <c r="L17" s="20"/>
      <c r="M17" s="39"/>
      <c r="N17" s="40" t="s">
        <v>25</v>
      </c>
      <c r="O17" s="5"/>
      <c r="P17" s="41">
        <v>0.0228</v>
      </c>
      <c r="Q17" s="18"/>
    </row>
    <row r="18" spans="2:17" ht="14.25" customHeight="1">
      <c r="B18" s="19" t="s">
        <v>28</v>
      </c>
      <c r="C18" s="10">
        <v>10</v>
      </c>
      <c r="D18" s="5"/>
      <c r="E18" s="5"/>
      <c r="F18" s="5"/>
      <c r="G18" s="5"/>
      <c r="H18" s="5"/>
      <c r="I18" s="5"/>
      <c r="J18" s="5"/>
      <c r="K18" s="5"/>
      <c r="L18" s="18"/>
      <c r="M18" s="2"/>
      <c r="N18" s="40" t="s">
        <v>27</v>
      </c>
      <c r="O18" s="5"/>
      <c r="P18" s="41">
        <v>0.0037</v>
      </c>
      <c r="Q18" s="18"/>
    </row>
    <row r="19" spans="2:17" ht="15">
      <c r="B19" s="19" t="s">
        <v>30</v>
      </c>
      <c r="C19" s="42">
        <v>0.03</v>
      </c>
      <c r="D19" s="10"/>
      <c r="E19" s="5"/>
      <c r="F19" s="5"/>
      <c r="G19" s="5"/>
      <c r="H19" s="5"/>
      <c r="I19" s="5"/>
      <c r="J19" s="5"/>
      <c r="K19" s="5"/>
      <c r="L19" s="18"/>
      <c r="N19" s="19" t="s">
        <v>29</v>
      </c>
      <c r="O19" s="5"/>
      <c r="P19" s="41"/>
      <c r="Q19" s="18"/>
    </row>
    <row r="20" spans="2:17" ht="15">
      <c r="B20" s="27" t="s">
        <v>32</v>
      </c>
      <c r="C20" s="43">
        <v>0.35</v>
      </c>
      <c r="D20" s="43"/>
      <c r="E20" s="44"/>
      <c r="F20" s="44"/>
      <c r="G20" s="44"/>
      <c r="H20" s="44"/>
      <c r="I20" s="44"/>
      <c r="J20" s="44"/>
      <c r="K20" s="44"/>
      <c r="L20" s="45"/>
      <c r="N20" s="19" t="s">
        <v>31</v>
      </c>
      <c r="O20" s="5"/>
      <c r="P20" s="37"/>
      <c r="Q20" s="18"/>
    </row>
    <row r="21" spans="14:17" ht="15">
      <c r="N21" s="46" t="s">
        <v>33</v>
      </c>
      <c r="O21" s="44"/>
      <c r="P21" s="147">
        <f>P18+P17</f>
        <v>0.026500000000000003</v>
      </c>
      <c r="Q21" s="45"/>
    </row>
    <row r="23" spans="1:12" ht="18.75" hidden="1">
      <c r="A23" s="47" t="s">
        <v>34</v>
      </c>
      <c r="B23" s="3" t="s">
        <v>35</v>
      </c>
      <c r="C23" s="2">
        <f aca="true" t="shared" si="2" ref="C23:L23">IF(C3&gt;Term,MIN(C8*2,AVERAGE(C8,1000)),C8)</f>
        <v>4.5</v>
      </c>
      <c r="D23" s="2">
        <f t="shared" si="2"/>
        <v>4.5</v>
      </c>
      <c r="E23" s="2">
        <f t="shared" si="2"/>
        <v>4.5</v>
      </c>
      <c r="F23" s="2">
        <f t="shared" si="2"/>
        <v>4.5</v>
      </c>
      <c r="G23" s="2">
        <f t="shared" si="2"/>
        <v>4.5</v>
      </c>
      <c r="H23" s="2">
        <f t="shared" si="2"/>
        <v>4.5</v>
      </c>
      <c r="I23" s="2">
        <f t="shared" si="2"/>
        <v>4.5</v>
      </c>
      <c r="J23" s="2">
        <f t="shared" si="2"/>
        <v>4.5</v>
      </c>
      <c r="K23" s="2">
        <f t="shared" si="2"/>
        <v>4.5</v>
      </c>
      <c r="L23" s="2">
        <f t="shared" si="2"/>
        <v>4.5</v>
      </c>
    </row>
    <row r="24" spans="2:13" ht="15" hidden="1">
      <c r="B24" s="3" t="s">
        <v>36</v>
      </c>
      <c r="C24" s="31">
        <v>0.04</v>
      </c>
      <c r="M24" s="2"/>
    </row>
    <row r="25" spans="2:12" ht="15" hidden="1">
      <c r="B25" s="3" t="s">
        <v>22</v>
      </c>
      <c r="C25" s="35">
        <f>IF(IssAge+C3-1&gt;=120,1,VLOOKUP(IssAge+C3-1,'2001 CSO'!$B$4:$C$124,2))</f>
        <v>0.00277</v>
      </c>
      <c r="D25" s="35">
        <f>IF(IssAge+D3-1&gt;=120,1,VLOOKUP(IssAge+D3-1,'2001 CSO'!$B$4:$C$124,2))</f>
        <v>0.00303</v>
      </c>
      <c r="E25" s="35">
        <f>IF(IssAge+E3-1&gt;=120,1,VLOOKUP(IssAge+E3-1,'2001 CSO'!$B$4:$C$124,2))</f>
        <v>0.00325</v>
      </c>
      <c r="F25" s="35">
        <f>IF(IssAge+F3-1&gt;=120,1,VLOOKUP(IssAge+F3-1,'2001 CSO'!$B$4:$C$124,2))</f>
        <v>0.00342</v>
      </c>
      <c r="G25" s="35">
        <f>IF(IssAge+G3-1&gt;=120,1,VLOOKUP(IssAge+G3-1,'2001 CSO'!$B$4:$C$124,2))</f>
        <v>0.00364</v>
      </c>
      <c r="H25" s="35">
        <f>IF(IssAge+H3-1&gt;=120,1,VLOOKUP(IssAge+H3-1,'2001 CSO'!$B$4:$C$124,2))</f>
        <v>0.00391</v>
      </c>
      <c r="I25" s="35">
        <f>IF(IssAge+I3-1&gt;=120,1,VLOOKUP(IssAge+I3-1,'2001 CSO'!$B$4:$C$124,2))</f>
        <v>0.00426</v>
      </c>
      <c r="J25" s="35">
        <f>IF(IssAge+J3-1&gt;=120,1,VLOOKUP(IssAge+J3-1,'2001 CSO'!$B$4:$C$124,2))</f>
        <v>0.0047</v>
      </c>
      <c r="K25" s="35">
        <f>IF(IssAge+K3-1&gt;=120,1,VLOOKUP(IssAge+K3-1,'2001 CSO'!$B$4:$C$124,2))</f>
        <v>0.00521</v>
      </c>
      <c r="L25" s="35">
        <f>IF(IssAge+L3-1&gt;=120,1,VLOOKUP(IssAge+L3-1,'2001 CSO'!$B$4:$C$124,2))</f>
        <v>0.00583</v>
      </c>
    </row>
    <row r="26" spans="2:13" ht="15" hidden="1">
      <c r="B26" s="3" t="s">
        <v>37</v>
      </c>
      <c r="C26" s="48">
        <v>0.05</v>
      </c>
      <c r="M26" s="35"/>
    </row>
    <row r="27" spans="2:3" ht="15" hidden="1">
      <c r="B27" s="3" t="s">
        <v>38</v>
      </c>
      <c r="C27" s="48">
        <v>0.04</v>
      </c>
    </row>
    <row r="28" ht="15" hidden="1">
      <c r="C28" s="48"/>
    </row>
    <row r="29" ht="15" hidden="1"/>
    <row r="30" spans="1:12" ht="18.75" hidden="1">
      <c r="A30" s="47" t="s">
        <v>39</v>
      </c>
      <c r="B30" s="3" t="s">
        <v>40</v>
      </c>
      <c r="C30" s="31" t="e">
        <f>#REF!-0.005</f>
        <v>#REF!</v>
      </c>
      <c r="D30" s="31"/>
      <c r="E30" s="31"/>
      <c r="F30" s="31"/>
      <c r="G30" s="31"/>
      <c r="H30" s="31"/>
      <c r="I30" s="31"/>
      <c r="J30" s="31"/>
      <c r="K30" s="31"/>
      <c r="L30" s="31"/>
    </row>
    <row r="31" spans="2:13" ht="15" hidden="1">
      <c r="B31" s="3" t="s">
        <v>20</v>
      </c>
      <c r="C31" s="31">
        <f>BestEstMortPerc*1.1</f>
        <v>0.8250000000000001</v>
      </c>
      <c r="D31" s="3"/>
      <c r="F31" s="31"/>
      <c r="G31" s="31"/>
      <c r="H31" s="31"/>
      <c r="I31" s="31"/>
      <c r="J31" s="31"/>
      <c r="K31" s="31"/>
      <c r="L31" s="31"/>
      <c r="M31" s="31"/>
    </row>
    <row r="32" spans="2:13" ht="15" hidden="1">
      <c r="B32" s="3" t="s">
        <v>22</v>
      </c>
      <c r="C32" s="35">
        <f>IF(IssAge+C3-1&gt;=120,1,VLOOKUP(IssAge+C3-1,'2001 CSO'!$B$4:$C$124,2)*GAAPPADMortPerc)</f>
        <v>0.00228525</v>
      </c>
      <c r="D32" s="35">
        <f>IF(IssAge+D3-1&gt;=120,1,VLOOKUP(IssAge+D3-1,'2001 CSO'!$B$4:$C$124,2)*GAAPPADMortPerc)</f>
        <v>0.0024997500000000002</v>
      </c>
      <c r="E32" s="35">
        <f>IF(IssAge+E3-1&gt;=120,1,VLOOKUP(IssAge+E3-1,'2001 CSO'!$B$4:$C$124,2)*GAAPPADMortPerc)</f>
        <v>0.00268125</v>
      </c>
      <c r="F32" s="35">
        <f>IF(IssAge+F3-1&gt;=120,1,VLOOKUP(IssAge+F3-1,'2001 CSO'!$B$4:$C$124,2)*GAAPPADMortPerc)</f>
        <v>0.0028215000000000002</v>
      </c>
      <c r="G32" s="35">
        <f>IF(IssAge+G3-1&gt;=120,1,VLOOKUP(IssAge+G3-1,'2001 CSO'!$B$4:$C$124,2)*GAAPPADMortPerc)</f>
        <v>0.0030030000000000005</v>
      </c>
      <c r="H32" s="35">
        <f>IF(IssAge+H3-1&gt;=120,1,VLOOKUP(IssAge+H3-1,'2001 CSO'!$B$4:$C$124,2)*GAAPPADMortPerc)</f>
        <v>0.0032257500000000003</v>
      </c>
      <c r="I32" s="35">
        <f>IF(IssAge+I3-1&gt;=120,1,VLOOKUP(IssAge+I3-1,'2001 CSO'!$B$4:$C$124,2)*GAAPPADMortPerc)</f>
        <v>0.0035145000000000003</v>
      </c>
      <c r="J32" s="35">
        <f>IF(IssAge+J3-1&gt;=120,1,VLOOKUP(IssAge+J3-1,'2001 CSO'!$B$4:$C$124,2)*GAAPPADMortPerc)</f>
        <v>0.0038775000000000003</v>
      </c>
      <c r="K32" s="35">
        <f>IF(IssAge+K3-1&gt;=120,1,VLOOKUP(IssAge+K3-1,'2001 CSO'!$B$4:$C$124,2)*GAAPPADMortPerc)</f>
        <v>0.004298250000000001</v>
      </c>
      <c r="L32" s="35">
        <f>IF(IssAge+L3-1&gt;=120,1,VLOOKUP(IssAge+L3-1,'2001 CSO'!$B$4:$C$124,2)*GAAPPADMortPerc)</f>
        <v>0.004809750000000001</v>
      </c>
      <c r="M32" s="31"/>
    </row>
    <row r="33" spans="2:13" ht="15" hidden="1">
      <c r="B33" s="3" t="s">
        <v>23</v>
      </c>
      <c r="C33" s="49">
        <f>C15*1.5</f>
        <v>0.07500000000000001</v>
      </c>
      <c r="D33" s="49">
        <f aca="true" t="shared" si="3" ref="D33:K33">D15*1.5</f>
        <v>0.07500000000000001</v>
      </c>
      <c r="E33" s="49">
        <f t="shared" si="3"/>
        <v>0.07500000000000001</v>
      </c>
      <c r="F33" s="49">
        <f t="shared" si="3"/>
        <v>0.07500000000000001</v>
      </c>
      <c r="G33" s="49">
        <f t="shared" si="3"/>
        <v>0.07500000000000001</v>
      </c>
      <c r="H33" s="49">
        <f t="shared" si="3"/>
        <v>0.07500000000000001</v>
      </c>
      <c r="I33" s="49">
        <f t="shared" si="3"/>
        <v>0.07500000000000001</v>
      </c>
      <c r="J33" s="49">
        <f t="shared" si="3"/>
        <v>0.07500000000000001</v>
      </c>
      <c r="K33" s="49">
        <f t="shared" si="3"/>
        <v>0.07500000000000001</v>
      </c>
      <c r="L33" s="49">
        <v>1</v>
      </c>
      <c r="M33" s="35"/>
    </row>
    <row r="34" spans="2:13" ht="15" hidden="1">
      <c r="B34" s="3" t="s">
        <v>41</v>
      </c>
      <c r="C34" s="2">
        <f>C18*1.2</f>
        <v>12</v>
      </c>
      <c r="D34" s="3"/>
      <c r="M34" s="49"/>
    </row>
    <row r="35" spans="2:3" ht="15" hidden="1">
      <c r="B35" s="3" t="s">
        <v>30</v>
      </c>
      <c r="C35" s="31">
        <f>C19+0.005</f>
        <v>0.034999999999999996</v>
      </c>
    </row>
    <row r="36" spans="2:4" ht="15" hidden="1">
      <c r="B36" s="3" t="s">
        <v>42</v>
      </c>
      <c r="C36" s="39">
        <v>0.75</v>
      </c>
      <c r="D36" s="39"/>
    </row>
    <row r="37" ht="15" hidden="1"/>
    <row r="38" ht="15" hidden="1">
      <c r="C38" s="31"/>
    </row>
    <row r="39" spans="1:4" ht="18.75" hidden="1">
      <c r="A39" s="47" t="s">
        <v>43</v>
      </c>
      <c r="B39" s="3" t="s">
        <v>20</v>
      </c>
      <c r="C39" s="31">
        <v>0.825</v>
      </c>
      <c r="D39" s="50">
        <f>BestEstMortPerc*0.9</f>
        <v>0.675</v>
      </c>
    </row>
    <row r="40" spans="2:12" ht="15" hidden="1">
      <c r="B40" s="3" t="s">
        <v>44</v>
      </c>
      <c r="C40" s="35">
        <v>0.0020775</v>
      </c>
      <c r="D40" s="35">
        <v>0.0022725</v>
      </c>
      <c r="E40" s="35">
        <v>0.0024375</v>
      </c>
      <c r="F40" s="35">
        <v>0.002565</v>
      </c>
      <c r="G40" s="35">
        <v>0.00273</v>
      </c>
      <c r="H40" s="35">
        <v>0.00322575</v>
      </c>
      <c r="I40" s="35">
        <v>0.0035145</v>
      </c>
      <c r="J40" s="35">
        <v>0.0038775</v>
      </c>
      <c r="K40" s="35">
        <v>0.00429825</v>
      </c>
      <c r="L40" s="35">
        <v>0.00480975</v>
      </c>
    </row>
    <row r="41" spans="2:12" ht="15" hidden="1">
      <c r="B41" s="3" t="s">
        <v>45</v>
      </c>
      <c r="C41" s="35">
        <v>0.0020775</v>
      </c>
      <c r="D41" s="35">
        <v>0.0022725</v>
      </c>
      <c r="E41" s="35">
        <v>0.0024375</v>
      </c>
      <c r="F41" s="35">
        <v>0.002565</v>
      </c>
      <c r="G41" s="35">
        <v>0.00273</v>
      </c>
      <c r="H41" s="35">
        <v>0.0026392500000000005</v>
      </c>
      <c r="I41" s="35">
        <v>0.0028755</v>
      </c>
      <c r="J41" s="35">
        <v>0.0031725000000000004</v>
      </c>
      <c r="K41" s="35">
        <v>0.0035167500000000003</v>
      </c>
      <c r="L41" s="35">
        <v>0.00393525</v>
      </c>
    </row>
    <row r="42" spans="2:12" ht="15" hidden="1">
      <c r="B42" s="3" t="s">
        <v>46</v>
      </c>
      <c r="C42" s="35">
        <v>0.05</v>
      </c>
      <c r="D42" s="35">
        <v>0.05</v>
      </c>
      <c r="E42" s="35">
        <v>0.05</v>
      </c>
      <c r="F42" s="35">
        <v>0.05</v>
      </c>
      <c r="G42" s="35">
        <v>0.05</v>
      </c>
      <c r="H42" s="35">
        <v>0.075</v>
      </c>
      <c r="I42" s="35">
        <v>0.075</v>
      </c>
      <c r="J42" s="35">
        <v>0.075</v>
      </c>
      <c r="K42" s="35">
        <v>0.075</v>
      </c>
      <c r="L42" s="35">
        <v>1</v>
      </c>
    </row>
    <row r="43" spans="2:13" ht="15" hidden="1">
      <c r="B43" s="3" t="s">
        <v>47</v>
      </c>
      <c r="C43" s="35">
        <v>0.05</v>
      </c>
      <c r="D43" s="35">
        <v>0.05</v>
      </c>
      <c r="E43" s="35">
        <v>0.05</v>
      </c>
      <c r="F43" s="35">
        <v>0.05</v>
      </c>
      <c r="G43" s="35">
        <v>0.05</v>
      </c>
      <c r="H43" s="35">
        <v>0.025</v>
      </c>
      <c r="I43" s="35">
        <v>0.025</v>
      </c>
      <c r="J43" s="35">
        <v>0.025</v>
      </c>
      <c r="K43" s="35">
        <v>0.025</v>
      </c>
      <c r="L43" s="35">
        <v>1</v>
      </c>
      <c r="M43" s="35"/>
    </row>
    <row r="44" spans="2:13" ht="15" hidden="1">
      <c r="B44" s="3" t="s">
        <v>48</v>
      </c>
      <c r="C44" s="2">
        <f>MaintExpPerPol*1.5</f>
        <v>15</v>
      </c>
      <c r="M44" s="35"/>
    </row>
    <row r="45" spans="2:3" ht="15" hidden="1">
      <c r="B45" s="3" t="s">
        <v>49</v>
      </c>
      <c r="C45" s="3">
        <f>MaintExpPerPol*0.5</f>
        <v>5</v>
      </c>
    </row>
    <row r="46" spans="2:3" ht="15" hidden="1">
      <c r="B46" s="3" t="s">
        <v>50</v>
      </c>
      <c r="C46" s="31" t="e">
        <f>BestEstInvRet-1%</f>
        <v>#REF!</v>
      </c>
    </row>
    <row r="47" spans="2:3" ht="15" hidden="1">
      <c r="B47" s="3" t="s">
        <v>51</v>
      </c>
      <c r="C47" s="31" t="e">
        <f>BestEstInvRet+1%</f>
        <v>#REF!</v>
      </c>
    </row>
    <row r="48" ht="15" hidden="1"/>
    <row r="49" ht="15" hidden="1"/>
    <row r="50" spans="1:12" ht="18.75" hidden="1">
      <c r="A50" s="47" t="s">
        <v>52</v>
      </c>
      <c r="B50" s="3" t="s">
        <v>53</v>
      </c>
      <c r="C50" s="31" t="e">
        <f>GAAPPADInvRet+1%</f>
        <v>#REF!</v>
      </c>
      <c r="D50" s="31"/>
      <c r="E50" s="31"/>
      <c r="F50" s="31"/>
      <c r="G50" s="31"/>
      <c r="H50" s="31"/>
      <c r="I50" s="31"/>
      <c r="J50" s="31"/>
      <c r="K50" s="31"/>
      <c r="L50" s="31"/>
    </row>
    <row r="51" spans="2:13" ht="15" hidden="1">
      <c r="B51" s="3" t="s">
        <v>54</v>
      </c>
      <c r="C51" s="31" t="e">
        <f>GAAPPADInvRet-1%</f>
        <v>#REF!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2:13" ht="15" hidden="1">
      <c r="B52" s="3" t="s">
        <v>20</v>
      </c>
      <c r="D52" s="31">
        <f>GAAPPADMortPerc*1.1</f>
        <v>0.9075000000000002</v>
      </c>
      <c r="E52" s="31">
        <f>GAAPPADMortPerc*0.9</f>
        <v>0.7425</v>
      </c>
      <c r="M52" s="31"/>
    </row>
    <row r="53" spans="2:12" ht="15" hidden="1">
      <c r="B53" s="3" t="s">
        <v>55</v>
      </c>
      <c r="C53" s="35">
        <f>C32</f>
        <v>0.00228525</v>
      </c>
      <c r="D53" s="35">
        <f>D32</f>
        <v>0.0024997500000000002</v>
      </c>
      <c r="E53" s="35">
        <f>E32</f>
        <v>0.00268125</v>
      </c>
      <c r="F53" s="35">
        <f>F32</f>
        <v>0.0028215000000000002</v>
      </c>
      <c r="G53" s="35">
        <f>G32</f>
        <v>0.0030030000000000005</v>
      </c>
      <c r="H53" s="35">
        <v>0.003548325000000001</v>
      </c>
      <c r="I53" s="35">
        <v>0.003865950000000001</v>
      </c>
      <c r="J53" s="35">
        <v>0.004265250000000001</v>
      </c>
      <c r="K53" s="35">
        <v>0.004728075000000001</v>
      </c>
      <c r="L53" s="35">
        <v>0.005290725000000001</v>
      </c>
    </row>
    <row r="54" spans="2:13" ht="15" hidden="1">
      <c r="B54" s="3" t="s">
        <v>56</v>
      </c>
      <c r="C54" s="35">
        <f aca="true" t="shared" si="4" ref="C54:G55">C32</f>
        <v>0.00228525</v>
      </c>
      <c r="D54" s="35">
        <f t="shared" si="4"/>
        <v>0.0024997500000000002</v>
      </c>
      <c r="E54" s="35">
        <f t="shared" si="4"/>
        <v>0.00268125</v>
      </c>
      <c r="F54" s="35">
        <f t="shared" si="4"/>
        <v>0.0028215000000000002</v>
      </c>
      <c r="G54" s="35">
        <f t="shared" si="4"/>
        <v>0.0030030000000000005</v>
      </c>
      <c r="H54" s="35">
        <v>0.0029031750000000005</v>
      </c>
      <c r="I54" s="35">
        <v>0.00316305</v>
      </c>
      <c r="J54" s="35">
        <v>0.0034897500000000002</v>
      </c>
      <c r="K54" s="35">
        <v>0.0038684250000000004</v>
      </c>
      <c r="L54" s="35">
        <v>0.004328775</v>
      </c>
      <c r="M54" s="35"/>
    </row>
    <row r="55" spans="2:13" ht="15" hidden="1">
      <c r="B55" s="3" t="s">
        <v>57</v>
      </c>
      <c r="C55" s="49">
        <f t="shared" si="4"/>
        <v>0.07500000000000001</v>
      </c>
      <c r="D55" s="49">
        <f t="shared" si="4"/>
        <v>0.07500000000000001</v>
      </c>
      <c r="E55" s="49">
        <f t="shared" si="4"/>
        <v>0.07500000000000001</v>
      </c>
      <c r="F55" s="49">
        <f t="shared" si="4"/>
        <v>0.07500000000000001</v>
      </c>
      <c r="G55" s="49">
        <f t="shared" si="4"/>
        <v>0.07500000000000001</v>
      </c>
      <c r="H55" s="49">
        <f>H33*1.5</f>
        <v>0.11250000000000002</v>
      </c>
      <c r="I55" s="49">
        <f>I33*1.5</f>
        <v>0.11250000000000002</v>
      </c>
      <c r="J55" s="49">
        <f>J33*1.5</f>
        <v>0.11250000000000002</v>
      </c>
      <c r="K55" s="49">
        <f>K33*1.5</f>
        <v>0.11250000000000002</v>
      </c>
      <c r="L55" s="49">
        <v>1</v>
      </c>
      <c r="M55" s="35"/>
    </row>
    <row r="56" spans="2:13" ht="15" hidden="1">
      <c r="B56" s="3" t="s">
        <v>58</v>
      </c>
      <c r="C56" s="49">
        <f>C33</f>
        <v>0.07500000000000001</v>
      </c>
      <c r="D56" s="49">
        <f>D33</f>
        <v>0.07500000000000001</v>
      </c>
      <c r="E56" s="49">
        <f>E33</f>
        <v>0.07500000000000001</v>
      </c>
      <c r="F56" s="49">
        <f>F33</f>
        <v>0.07500000000000001</v>
      </c>
      <c r="G56" s="49">
        <f>G33</f>
        <v>0.07500000000000001</v>
      </c>
      <c r="H56" s="49">
        <f>H33*0.5</f>
        <v>0.037500000000000006</v>
      </c>
      <c r="I56" s="49">
        <f>I33*0.5</f>
        <v>0.037500000000000006</v>
      </c>
      <c r="J56" s="49">
        <f>J33*0.5</f>
        <v>0.037500000000000006</v>
      </c>
      <c r="K56" s="49">
        <f>K33*0.5</f>
        <v>0.037500000000000006</v>
      </c>
      <c r="L56" s="49">
        <v>1</v>
      </c>
      <c r="M56" s="49"/>
    </row>
    <row r="57" spans="2:13" ht="15" hidden="1">
      <c r="B57" s="3" t="s">
        <v>48</v>
      </c>
      <c r="C57" s="2">
        <f>C44*1.2</f>
        <v>18</v>
      </c>
      <c r="D57" s="3"/>
      <c r="M57" s="49"/>
    </row>
    <row r="58" spans="2:3" ht="15" hidden="1">
      <c r="B58" s="3" t="s">
        <v>49</v>
      </c>
      <c r="C58" s="2">
        <f>C45*1.2</f>
        <v>6</v>
      </c>
    </row>
    <row r="59" ht="15" hidden="1"/>
  </sheetData>
  <mergeCells count="2">
    <mergeCell ref="O10:Q11"/>
    <mergeCell ref="N14:Q16"/>
  </mergeCells>
  <printOptions/>
  <pageMargins left="0.7" right="0.7" top="0.75" bottom="0.75" header="0.3" footer="0.3"/>
  <pageSetup fitToHeight="1" fitToWidth="1" horizontalDpi="600" verticalDpi="600" orientation="landscape" scale="66" r:id="rId1"/>
  <headerFooter>
    <oddFooter>&amp;L&amp;D  &amp;T&amp;R&amp;F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view="pageBreakPreview" zoomScale="70" zoomScaleSheetLayoutView="70" workbookViewId="0" topLeftCell="A1">
      <selection activeCell="A44" sqref="A44:XFD47"/>
    </sheetView>
  </sheetViews>
  <sheetFormatPr defaultColWidth="9.140625" defaultRowHeight="15"/>
  <cols>
    <col min="1" max="1" width="2.140625" style="51" customWidth="1"/>
    <col min="2" max="2" width="49.8515625" style="51" customWidth="1"/>
    <col min="3" max="3" width="11.00390625" style="51" customWidth="1"/>
    <col min="4" max="4" width="9.421875" style="51" customWidth="1"/>
    <col min="5" max="5" width="10.140625" style="51" bestFit="1" customWidth="1"/>
    <col min="6" max="6" width="10.421875" style="51" bestFit="1" customWidth="1"/>
    <col min="7" max="7" width="11.7109375" style="51" customWidth="1"/>
    <col min="8" max="10" width="10.140625" style="51" bestFit="1" customWidth="1"/>
    <col min="11" max="13" width="9.8515625" style="51" bestFit="1" customWidth="1"/>
    <col min="14" max="14" width="9.421875" style="51" bestFit="1" customWidth="1"/>
    <col min="15" max="15" width="4.57421875" style="51" customWidth="1"/>
    <col min="16" max="16" width="57.140625" style="51" customWidth="1"/>
    <col min="17" max="17" width="10.7109375" style="51" customWidth="1"/>
    <col min="18" max="124" width="9.28125" style="51" bestFit="1" customWidth="1"/>
    <col min="125" max="16384" width="9.140625" style="51" customWidth="1"/>
  </cols>
  <sheetData>
    <row r="1" spans="2:12" ht="23.25">
      <c r="B1" s="52" t="s">
        <v>59</v>
      </c>
      <c r="D1" s="4" t="s">
        <v>1</v>
      </c>
      <c r="E1" s="53"/>
      <c r="F1" s="53"/>
      <c r="G1" s="53"/>
      <c r="H1" s="53"/>
      <c r="I1" s="53"/>
      <c r="J1" s="53"/>
      <c r="K1" s="53"/>
      <c r="L1" s="53"/>
    </row>
    <row r="2" spans="2:16" ht="20.25">
      <c r="B2" s="54" t="s">
        <v>60</v>
      </c>
      <c r="C2" s="158" t="s">
        <v>129</v>
      </c>
      <c r="D2" s="159"/>
      <c r="E2" s="159"/>
      <c r="F2" s="160"/>
      <c r="G2" s="161"/>
      <c r="H2" s="161"/>
      <c r="I2" s="161"/>
      <c r="J2" s="161"/>
      <c r="K2" s="161"/>
      <c r="L2" s="161"/>
      <c r="P2" s="54" t="s">
        <v>61</v>
      </c>
    </row>
    <row r="3" spans="2:5" ht="21" thickBot="1">
      <c r="B3" s="54"/>
      <c r="C3" s="55"/>
      <c r="D3" s="55"/>
      <c r="E3" s="54"/>
    </row>
    <row r="4" spans="2:17" ht="16.5" thickBot="1">
      <c r="B4" s="157" t="s">
        <v>127</v>
      </c>
      <c r="C4" s="57">
        <f>(C51+C52)*(C51+C52&gt;0)</f>
        <v>0</v>
      </c>
      <c r="P4" s="157" t="s">
        <v>127</v>
      </c>
      <c r="Q4" s="57">
        <f>(C51)*(C51&gt;0)</f>
        <v>0</v>
      </c>
    </row>
    <row r="6" spans="2:17" ht="21" thickBot="1">
      <c r="B6" s="170" t="s">
        <v>62</v>
      </c>
      <c r="C6" s="170"/>
      <c r="D6" s="54" t="s">
        <v>63</v>
      </c>
      <c r="O6" s="56"/>
      <c r="P6" s="58" t="s">
        <v>62</v>
      </c>
      <c r="Q6" s="54" t="s">
        <v>64</v>
      </c>
    </row>
    <row r="7" spans="2:27" ht="15">
      <c r="B7" s="59"/>
      <c r="C7" s="60"/>
      <c r="D7" s="61" t="s">
        <v>65</v>
      </c>
      <c r="E7" s="61" t="s">
        <v>66</v>
      </c>
      <c r="F7" s="61" t="s">
        <v>67</v>
      </c>
      <c r="G7" s="61" t="s">
        <v>68</v>
      </c>
      <c r="H7" s="61" t="s">
        <v>69</v>
      </c>
      <c r="I7" s="61" t="s">
        <v>70</v>
      </c>
      <c r="J7" s="61" t="s">
        <v>71</v>
      </c>
      <c r="K7" s="61" t="s">
        <v>72</v>
      </c>
      <c r="L7" s="61" t="s">
        <v>73</v>
      </c>
      <c r="M7" s="61" t="s">
        <v>74</v>
      </c>
      <c r="N7" s="62" t="s">
        <v>75</v>
      </c>
      <c r="O7" s="63"/>
      <c r="P7" s="64"/>
      <c r="Q7" s="61" t="s">
        <v>65</v>
      </c>
      <c r="R7" s="61" t="s">
        <v>66</v>
      </c>
      <c r="S7" s="61" t="s">
        <v>67</v>
      </c>
      <c r="T7" s="61" t="s">
        <v>68</v>
      </c>
      <c r="U7" s="61" t="s">
        <v>69</v>
      </c>
      <c r="V7" s="61" t="s">
        <v>70</v>
      </c>
      <c r="W7" s="61" t="s">
        <v>71</v>
      </c>
      <c r="X7" s="61" t="s">
        <v>72</v>
      </c>
      <c r="Y7" s="61" t="s">
        <v>73</v>
      </c>
      <c r="Z7" s="61" t="s">
        <v>74</v>
      </c>
      <c r="AA7" s="62" t="s">
        <v>75</v>
      </c>
    </row>
    <row r="8" spans="2:27" s="71" customFormat="1" ht="14.25">
      <c r="B8" s="65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69"/>
      <c r="P8" s="70"/>
      <c r="Q8" s="67"/>
      <c r="R8" s="67"/>
      <c r="S8" s="67"/>
      <c r="T8" s="67"/>
      <c r="U8" s="67"/>
      <c r="V8" s="67"/>
      <c r="W8" s="67"/>
      <c r="X8" s="67"/>
      <c r="Y8" s="67"/>
      <c r="Z8" s="67"/>
      <c r="AA8" s="68"/>
    </row>
    <row r="9" spans="2:27" s="71" customFormat="1" ht="16.5" customHeight="1">
      <c r="B9" s="171" t="s">
        <v>76</v>
      </c>
      <c r="C9" s="172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9"/>
      <c r="P9" s="72" t="str">
        <f>B9</f>
        <v xml:space="preserve">(a) Underwriting margin </v>
      </c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2:27" s="71" customFormat="1" ht="14.25">
      <c r="B10" s="168" t="s">
        <v>77</v>
      </c>
      <c r="C10" s="169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68">
        <f>SUM(D10:M10)</f>
        <v>0</v>
      </c>
      <c r="O10" s="69"/>
      <c r="P10" s="70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8"/>
    </row>
    <row r="11" spans="2:27" s="71" customFormat="1" ht="16.5" customHeight="1">
      <c r="B11" s="168" t="s">
        <v>78</v>
      </c>
      <c r="C11" s="169"/>
      <c r="D11" s="74"/>
      <c r="E11" s="74"/>
      <c r="F11" s="74"/>
      <c r="G11" s="74"/>
      <c r="H11" s="74"/>
      <c r="I11" s="151"/>
      <c r="J11" s="151"/>
      <c r="K11" s="151"/>
      <c r="L11" s="151"/>
      <c r="M11" s="151"/>
      <c r="N11" s="68">
        <f>SUM(D11:M11)</f>
        <v>0</v>
      </c>
      <c r="O11" s="69"/>
      <c r="P11" s="76" t="s">
        <v>79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68">
        <f>SUM(Q11:Z11)</f>
        <v>0</v>
      </c>
    </row>
    <row r="12" spans="2:27" s="71" customFormat="1" ht="14.25" customHeight="1">
      <c r="B12" s="168" t="s">
        <v>80</v>
      </c>
      <c r="C12" s="169"/>
      <c r="D12" s="150"/>
      <c r="E12" s="74"/>
      <c r="F12" s="74"/>
      <c r="G12" s="74"/>
      <c r="H12" s="74"/>
      <c r="I12" s="74"/>
      <c r="J12" s="74"/>
      <c r="K12" s="74"/>
      <c r="L12" s="74"/>
      <c r="M12" s="74"/>
      <c r="N12" s="68">
        <f>SUM(D12:M12)</f>
        <v>0</v>
      </c>
      <c r="O12" s="69"/>
      <c r="P12" s="76" t="s">
        <v>80</v>
      </c>
      <c r="Q12" s="150"/>
      <c r="R12" s="74"/>
      <c r="S12" s="74"/>
      <c r="T12" s="74"/>
      <c r="U12" s="74"/>
      <c r="V12" s="74"/>
      <c r="W12" s="74"/>
      <c r="X12" s="74"/>
      <c r="Y12" s="74"/>
      <c r="Z12" s="74"/>
      <c r="AA12" s="68">
        <f>SUM(Q12:Z12)</f>
        <v>0</v>
      </c>
    </row>
    <row r="13" spans="2:27" s="71" customFormat="1" ht="17.25" customHeight="1">
      <c r="B13" s="173" t="s">
        <v>81</v>
      </c>
      <c r="C13" s="174"/>
      <c r="D13" s="77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9"/>
      <c r="P13" s="72" t="str">
        <f aca="true" t="shared" si="0" ref="P13:P26">B13</f>
        <v>(b) Gains / losses at initial recognition</v>
      </c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8"/>
    </row>
    <row r="14" spans="2:27" s="71" customFormat="1" ht="15.75" customHeight="1">
      <c r="B14" s="168" t="s">
        <v>82</v>
      </c>
      <c r="C14" s="169"/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8">
        <f>SUM(D14:M14)</f>
        <v>0</v>
      </c>
      <c r="O14" s="69"/>
      <c r="P14" s="76" t="str">
        <f t="shared" si="0"/>
        <v>Losses on insurance contracts acquired in a portfolio transfer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8">
        <f>SUM(Q14:Z14)</f>
        <v>0</v>
      </c>
    </row>
    <row r="15" spans="2:27" s="71" customFormat="1" ht="15.75" customHeight="1">
      <c r="B15" s="168" t="s">
        <v>83</v>
      </c>
      <c r="C15" s="169"/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f>SUM(D15:M15)</f>
        <v>0</v>
      </c>
      <c r="O15" s="69"/>
      <c r="P15" s="76" t="str">
        <f t="shared" si="0"/>
        <v xml:space="preserve">Gains on reinsurance contracts bought by the cedant 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8">
        <f>SUM(Q15:Z15)</f>
        <v>0</v>
      </c>
    </row>
    <row r="16" spans="2:27" s="71" customFormat="1" ht="15.75" customHeight="1">
      <c r="B16" s="168" t="s">
        <v>84</v>
      </c>
      <c r="C16" s="169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68">
        <f>SUM(D16:M16)</f>
        <v>0</v>
      </c>
      <c r="O16" s="69"/>
      <c r="P16" s="76" t="str">
        <f t="shared" si="0"/>
        <v>Losses at initial recognition of an insurance contract</v>
      </c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68">
        <f>SUM(Q16:Z16)</f>
        <v>0</v>
      </c>
    </row>
    <row r="17" spans="2:27" s="71" customFormat="1" ht="16.5" customHeight="1">
      <c r="B17" s="173" t="s">
        <v>85</v>
      </c>
      <c r="C17" s="1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68">
        <f>SUM(D17:M17)</f>
        <v>0</v>
      </c>
      <c r="O17" s="69"/>
      <c r="P17" s="72" t="str">
        <f t="shared" si="0"/>
        <v xml:space="preserve">(c) Acquisition costs that are not incremental 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68">
        <f>SUM(Q17:Z17)</f>
        <v>0</v>
      </c>
    </row>
    <row r="18" spans="2:27" s="71" customFormat="1" ht="17.25" customHeight="1">
      <c r="B18" s="173" t="s">
        <v>86</v>
      </c>
      <c r="C18" s="17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69"/>
      <c r="P18" s="72" t="str">
        <f t="shared" si="0"/>
        <v>(d) Experience variances and changes in estimates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8"/>
    </row>
    <row r="19" spans="2:27" s="71" customFormat="1" ht="16.5" customHeight="1">
      <c r="B19" s="78" t="s">
        <v>87</v>
      </c>
      <c r="C19" s="66"/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  <c r="O19" s="69"/>
      <c r="P19" s="76" t="s">
        <v>87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8">
        <v>0</v>
      </c>
    </row>
    <row r="20" spans="2:27" s="71" customFormat="1" ht="16.5" customHeight="1">
      <c r="B20" s="78" t="s">
        <v>88</v>
      </c>
      <c r="C20" s="66"/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8">
        <v>0</v>
      </c>
      <c r="O20" s="69"/>
      <c r="P20" s="76" t="s">
        <v>88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8">
        <v>0</v>
      </c>
    </row>
    <row r="21" spans="2:27" s="71" customFormat="1" ht="15.75" customHeight="1">
      <c r="B21" s="78" t="s">
        <v>89</v>
      </c>
      <c r="C21" s="66"/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8">
        <v>0</v>
      </c>
      <c r="O21" s="69"/>
      <c r="P21" s="76" t="s">
        <v>89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8">
        <v>0</v>
      </c>
    </row>
    <row r="22" spans="2:27" s="71" customFormat="1" ht="14.25" customHeight="1">
      <c r="B22" s="78" t="s">
        <v>90</v>
      </c>
      <c r="C22" s="66"/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8">
        <v>0</v>
      </c>
      <c r="O22" s="69"/>
      <c r="P22" s="76" t="s">
        <v>90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8">
        <v>0</v>
      </c>
    </row>
    <row r="23" spans="2:27" s="71" customFormat="1" ht="16.5" customHeight="1">
      <c r="B23" s="173" t="s">
        <v>91</v>
      </c>
      <c r="C23" s="174"/>
      <c r="D23" s="149">
        <v>6.658045278178577</v>
      </c>
      <c r="E23" s="149">
        <v>4.483720793187075</v>
      </c>
      <c r="F23" s="149">
        <v>2.6274248457641534</v>
      </c>
      <c r="G23" s="149">
        <v>1.0295632909509607</v>
      </c>
      <c r="H23" s="149">
        <v>-0.3717704086719209</v>
      </c>
      <c r="I23" s="149">
        <v>-1.5511923883226757</v>
      </c>
      <c r="J23" s="149">
        <v>-2.487578212993725</v>
      </c>
      <c r="K23" s="149">
        <v>-3.141992461237237</v>
      </c>
      <c r="L23" s="149">
        <v>-3.4750242582991007</v>
      </c>
      <c r="M23" s="149">
        <v>-3.466939528474313</v>
      </c>
      <c r="N23" s="68">
        <v>0.3042569500817933</v>
      </c>
      <c r="O23" s="69"/>
      <c r="P23" s="72" t="s">
        <v>91</v>
      </c>
      <c r="Q23" s="67">
        <v>6.658045278178577</v>
      </c>
      <c r="R23" s="67">
        <v>4.483720793187075</v>
      </c>
      <c r="S23" s="67">
        <v>2.6274248457641534</v>
      </c>
      <c r="T23" s="67">
        <v>1.0295632909509607</v>
      </c>
      <c r="U23" s="67">
        <v>-0.3717704086719209</v>
      </c>
      <c r="V23" s="67">
        <v>-1.5511923883226757</v>
      </c>
      <c r="W23" s="67">
        <v>-2.487578212993725</v>
      </c>
      <c r="X23" s="67">
        <v>-3.141992461237237</v>
      </c>
      <c r="Y23" s="67">
        <v>-3.4750242582991007</v>
      </c>
      <c r="Z23" s="67">
        <v>-3.466939528474313</v>
      </c>
      <c r="AA23" s="68">
        <v>0.3042569500817933</v>
      </c>
    </row>
    <row r="24" spans="2:27" s="71" customFormat="1" ht="15.75" customHeight="1">
      <c r="B24" s="168" t="s">
        <v>92</v>
      </c>
      <c r="C24" s="169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9"/>
      <c r="P24" s="76" t="s">
        <v>92</v>
      </c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8"/>
    </row>
    <row r="25" spans="2:27" s="71" customFormat="1" ht="15.75" customHeight="1">
      <c r="B25" s="168" t="s">
        <v>93</v>
      </c>
      <c r="C25" s="169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9"/>
      <c r="P25" s="76" t="s">
        <v>93</v>
      </c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8"/>
    </row>
    <row r="26" spans="2:27" s="71" customFormat="1" ht="15.75" customHeight="1">
      <c r="B26" s="168" t="s">
        <v>94</v>
      </c>
      <c r="C26" s="169"/>
      <c r="D26" s="67">
        <f>SUM(D10:D25)</f>
        <v>6.658045278178577</v>
      </c>
      <c r="E26" s="67">
        <f>SUM(E10:E25)</f>
        <v>4.483720793187075</v>
      </c>
      <c r="F26" s="67">
        <f aca="true" t="shared" si="1" ref="F26:M26">SUM(F10:F25)</f>
        <v>2.6274248457641534</v>
      </c>
      <c r="G26" s="67">
        <f t="shared" si="1"/>
        <v>1.0295632909509607</v>
      </c>
      <c r="H26" s="67">
        <f t="shared" si="1"/>
        <v>-0.3717704086719209</v>
      </c>
      <c r="I26" s="67">
        <f t="shared" si="1"/>
        <v>-1.5511923883226757</v>
      </c>
      <c r="J26" s="67">
        <f t="shared" si="1"/>
        <v>-2.487578212993725</v>
      </c>
      <c r="K26" s="67">
        <f t="shared" si="1"/>
        <v>-3.141992461237237</v>
      </c>
      <c r="L26" s="67">
        <f t="shared" si="1"/>
        <v>-3.4750242582991007</v>
      </c>
      <c r="M26" s="67">
        <f t="shared" si="1"/>
        <v>-3.466939528474313</v>
      </c>
      <c r="N26" s="68">
        <v>0</v>
      </c>
      <c r="O26" s="69"/>
      <c r="P26" s="76" t="str">
        <f t="shared" si="0"/>
        <v>Profit / (loss) before Investment Income</v>
      </c>
      <c r="Q26" s="67">
        <f>SUM(Q10:Q25)</f>
        <v>6.658045278178577</v>
      </c>
      <c r="R26" s="67">
        <f>SUM(R10:R25)</f>
        <v>4.483720793187075</v>
      </c>
      <c r="S26" s="67">
        <f aca="true" t="shared" si="2" ref="S26:Z26">SUM(S10:S25)</f>
        <v>2.6274248457641534</v>
      </c>
      <c r="T26" s="67">
        <f t="shared" si="2"/>
        <v>1.0295632909509607</v>
      </c>
      <c r="U26" s="67">
        <f t="shared" si="2"/>
        <v>-0.3717704086719209</v>
      </c>
      <c r="V26" s="67">
        <f t="shared" si="2"/>
        <v>-1.5511923883226757</v>
      </c>
      <c r="W26" s="67">
        <f t="shared" si="2"/>
        <v>-2.487578212993725</v>
      </c>
      <c r="X26" s="67">
        <f t="shared" si="2"/>
        <v>-3.141992461237237</v>
      </c>
      <c r="Y26" s="67">
        <f t="shared" si="2"/>
        <v>-3.4750242582991007</v>
      </c>
      <c r="Z26" s="67">
        <f t="shared" si="2"/>
        <v>-3.466939528474313</v>
      </c>
      <c r="AA26" s="68">
        <v>0</v>
      </c>
    </row>
    <row r="27" spans="2:27" s="71" customFormat="1" ht="16.5" customHeight="1">
      <c r="B27" s="173" t="s">
        <v>95</v>
      </c>
      <c r="C27" s="174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68"/>
      <c r="O27" s="69"/>
      <c r="P27" s="72" t="s">
        <v>95</v>
      </c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8"/>
    </row>
    <row r="28" spans="2:27" s="71" customFormat="1" ht="15.75" thickBot="1">
      <c r="B28" s="79" t="s">
        <v>128</v>
      </c>
      <c r="C28" s="80"/>
      <c r="D28" s="81">
        <f>SUM(D26:D27)</f>
        <v>6.658045278178577</v>
      </c>
      <c r="E28" s="81">
        <f aca="true" t="shared" si="3" ref="E28:M28">SUM(E26:E27)</f>
        <v>4.483720793187075</v>
      </c>
      <c r="F28" s="81">
        <f t="shared" si="3"/>
        <v>2.6274248457641534</v>
      </c>
      <c r="G28" s="81">
        <f t="shared" si="3"/>
        <v>1.0295632909509607</v>
      </c>
      <c r="H28" s="81">
        <f t="shared" si="3"/>
        <v>-0.3717704086719209</v>
      </c>
      <c r="I28" s="81">
        <f t="shared" si="3"/>
        <v>-1.5511923883226757</v>
      </c>
      <c r="J28" s="81">
        <f t="shared" si="3"/>
        <v>-2.487578212993725</v>
      </c>
      <c r="K28" s="81">
        <f t="shared" si="3"/>
        <v>-3.141992461237237</v>
      </c>
      <c r="L28" s="81">
        <f t="shared" si="3"/>
        <v>-3.4750242582991007</v>
      </c>
      <c r="M28" s="81">
        <f t="shared" si="3"/>
        <v>-3.466939528474313</v>
      </c>
      <c r="N28" s="82">
        <f aca="true" t="shared" si="4" ref="N28">SUM(D28:M28)</f>
        <v>0.3042569500817933</v>
      </c>
      <c r="O28" s="69"/>
      <c r="P28" s="83" t="str">
        <f>B28</f>
        <v>Net Income before (e) and (f)</v>
      </c>
      <c r="Q28" s="81">
        <f aca="true" t="shared" si="5" ref="Q28:Z28">SUM(Q26:Q27)</f>
        <v>6.658045278178577</v>
      </c>
      <c r="R28" s="81">
        <f t="shared" si="5"/>
        <v>4.483720793187075</v>
      </c>
      <c r="S28" s="81">
        <f t="shared" si="5"/>
        <v>2.6274248457641534</v>
      </c>
      <c r="T28" s="81">
        <f t="shared" si="5"/>
        <v>1.0295632909509607</v>
      </c>
      <c r="U28" s="81">
        <f t="shared" si="5"/>
        <v>-0.3717704086719209</v>
      </c>
      <c r="V28" s="81">
        <f t="shared" si="5"/>
        <v>-1.5511923883226757</v>
      </c>
      <c r="W28" s="81">
        <f t="shared" si="5"/>
        <v>-2.487578212993725</v>
      </c>
      <c r="X28" s="81">
        <f t="shared" si="5"/>
        <v>-3.141992461237237</v>
      </c>
      <c r="Y28" s="81">
        <f t="shared" si="5"/>
        <v>-3.4750242582991007</v>
      </c>
      <c r="Z28" s="81">
        <f t="shared" si="5"/>
        <v>-3.466939528474313</v>
      </c>
      <c r="AA28" s="82">
        <f>SUM(Q28:Z28)</f>
        <v>0.3042569500817933</v>
      </c>
    </row>
    <row r="29" ht="21" thickBot="1">
      <c r="B29" s="54"/>
    </row>
    <row r="30" spans="2:14" ht="15.75" thickBot="1">
      <c r="B30" s="84" t="s">
        <v>96</v>
      </c>
      <c r="C30" s="85">
        <v>0</v>
      </c>
      <c r="D30" s="85">
        <f aca="true" t="shared" si="6" ref="D30:M30">C30+1</f>
        <v>1</v>
      </c>
      <c r="E30" s="85">
        <f t="shared" si="6"/>
        <v>2</v>
      </c>
      <c r="F30" s="85">
        <f t="shared" si="6"/>
        <v>3</v>
      </c>
      <c r="G30" s="85">
        <f t="shared" si="6"/>
        <v>4</v>
      </c>
      <c r="H30" s="85">
        <f t="shared" si="6"/>
        <v>5</v>
      </c>
      <c r="I30" s="85">
        <f t="shared" si="6"/>
        <v>6</v>
      </c>
      <c r="J30" s="85">
        <f t="shared" si="6"/>
        <v>7</v>
      </c>
      <c r="K30" s="85">
        <f t="shared" si="6"/>
        <v>8</v>
      </c>
      <c r="L30" s="85">
        <f t="shared" si="6"/>
        <v>9</v>
      </c>
      <c r="M30" s="86">
        <f t="shared" si="6"/>
        <v>10</v>
      </c>
      <c r="N30" s="87"/>
    </row>
    <row r="31" spans="2:14" ht="14.25">
      <c r="B31" s="88" t="s">
        <v>97</v>
      </c>
      <c r="C31" s="89">
        <v>50000</v>
      </c>
      <c r="D31" s="89">
        <v>47401.31875</v>
      </c>
      <c r="E31" s="89">
        <v>44928.91929048359</v>
      </c>
      <c r="F31" s="89">
        <v>42578.43479722738</v>
      </c>
      <c r="G31" s="89">
        <v>40345.76005637387</v>
      </c>
      <c r="H31" s="89">
        <v>38223.835324848966</v>
      </c>
      <c r="I31" s="89">
        <v>36206.1567313709</v>
      </c>
      <c r="J31" s="89">
        <v>34285.95415758346</v>
      </c>
      <c r="K31" s="89">
        <v>32456.841360719074</v>
      </c>
      <c r="L31" s="89">
        <v>30713.51544044696</v>
      </c>
      <c r="M31" s="90">
        <v>0</v>
      </c>
      <c r="N31" s="87"/>
    </row>
    <row r="32" spans="2:14" ht="15.75" thickBot="1">
      <c r="B32" s="91" t="s">
        <v>98</v>
      </c>
      <c r="C32" s="92">
        <v>0</v>
      </c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87"/>
    </row>
    <row r="33" ht="21" thickBot="1">
      <c r="B33" s="54" t="s">
        <v>99</v>
      </c>
    </row>
    <row r="34" spans="2:12" s="95" customFormat="1" ht="15">
      <c r="B34" s="96" t="s">
        <v>2</v>
      </c>
      <c r="C34" s="97">
        <v>1</v>
      </c>
      <c r="D34" s="97">
        <f>C34+1</f>
        <v>2</v>
      </c>
      <c r="E34" s="97">
        <f aca="true" t="shared" si="7" ref="E34:L34">D34+1</f>
        <v>3</v>
      </c>
      <c r="F34" s="97">
        <f t="shared" si="7"/>
        <v>4</v>
      </c>
      <c r="G34" s="97">
        <f t="shared" si="7"/>
        <v>5</v>
      </c>
      <c r="H34" s="97">
        <f t="shared" si="7"/>
        <v>6</v>
      </c>
      <c r="I34" s="97">
        <f t="shared" si="7"/>
        <v>7</v>
      </c>
      <c r="J34" s="97">
        <f t="shared" si="7"/>
        <v>8</v>
      </c>
      <c r="K34" s="97">
        <f t="shared" si="7"/>
        <v>9</v>
      </c>
      <c r="L34" s="98">
        <f t="shared" si="7"/>
        <v>10</v>
      </c>
    </row>
    <row r="35" spans="2:12" s="99" customFormat="1" ht="15">
      <c r="B35" s="100" t="s">
        <v>100</v>
      </c>
      <c r="C35" s="101">
        <v>225</v>
      </c>
      <c r="D35" s="101">
        <v>213.305934375</v>
      </c>
      <c r="E35" s="101">
        <v>202.18013680717613</v>
      </c>
      <c r="F35" s="101">
        <v>191.6029565875232</v>
      </c>
      <c r="G35" s="101">
        <v>181.55592025368242</v>
      </c>
      <c r="H35" s="101">
        <v>172.00725896182033</v>
      </c>
      <c r="I35" s="101">
        <v>162.92770529116908</v>
      </c>
      <c r="J35" s="101">
        <v>154.28679370912556</v>
      </c>
      <c r="K35" s="101">
        <v>146.05578612323583</v>
      </c>
      <c r="L35" s="102">
        <v>138.21081948201132</v>
      </c>
    </row>
    <row r="36" spans="2:12" s="99" customFormat="1" ht="15">
      <c r="B36" s="100" t="s">
        <v>101</v>
      </c>
      <c r="C36" s="101">
        <v>103.875</v>
      </c>
      <c r="D36" s="101">
        <v>107.71949685937501</v>
      </c>
      <c r="E36" s="101">
        <v>109.51424077055374</v>
      </c>
      <c r="F36" s="101">
        <v>109.21368525488823</v>
      </c>
      <c r="G36" s="101">
        <v>110.14392495390065</v>
      </c>
      <c r="H36" s="101">
        <v>112.0913970901196</v>
      </c>
      <c r="I36" s="101">
        <v>115.67867075673003</v>
      </c>
      <c r="J36" s="101">
        <v>120.8579884054817</v>
      </c>
      <c r="K36" s="101">
        <v>126.82510761700979</v>
      </c>
      <c r="L36" s="102">
        <v>134.29484626335432</v>
      </c>
    </row>
    <row r="37" spans="2:12" s="99" customFormat="1" ht="15">
      <c r="B37" s="100" t="s">
        <v>24</v>
      </c>
      <c r="C37" s="101">
        <v>168.75</v>
      </c>
      <c r="D37" s="101">
        <v>10.66529671875</v>
      </c>
      <c r="E37" s="101">
        <v>10.109006840358807</v>
      </c>
      <c r="F37" s="101">
        <v>9.58014782937616</v>
      </c>
      <c r="G37" s="101">
        <v>9.077796012684122</v>
      </c>
      <c r="H37" s="101">
        <v>8.600362948091016</v>
      </c>
      <c r="I37" s="101">
        <v>8.146385264558454</v>
      </c>
      <c r="J37" s="101">
        <v>7.714339685456278</v>
      </c>
      <c r="K37" s="101">
        <v>7.302789306161792</v>
      </c>
      <c r="L37" s="102">
        <v>6.910540974100567</v>
      </c>
    </row>
    <row r="38" spans="2:12" s="99" customFormat="1" ht="15">
      <c r="B38" s="100" t="s">
        <v>102</v>
      </c>
      <c r="C38" s="101">
        <v>56.25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2">
        <v>0</v>
      </c>
    </row>
    <row r="39" spans="2:12" s="99" customFormat="1" ht="15.75" thickBot="1">
      <c r="B39" s="103" t="s">
        <v>103</v>
      </c>
      <c r="C39" s="104">
        <v>10.3</v>
      </c>
      <c r="D39" s="104">
        <v>10.057611812374999</v>
      </c>
      <c r="E39" s="104">
        <v>9.819008637906451</v>
      </c>
      <c r="F39" s="104">
        <v>9.584480696057994</v>
      </c>
      <c r="G39" s="104">
        <v>9.354358728256546</v>
      </c>
      <c r="H39" s="104">
        <v>9.128251670356443</v>
      </c>
      <c r="I39" s="104">
        <v>8.905801186277962</v>
      </c>
      <c r="J39" s="104">
        <v>8.686484187730814</v>
      </c>
      <c r="K39" s="104">
        <v>8.469763247853226</v>
      </c>
      <c r="L39" s="105">
        <v>8.255279293531052</v>
      </c>
    </row>
    <row r="40" spans="2:12" s="99" customFormat="1" ht="15.75" thickBot="1">
      <c r="B40" s="106" t="s">
        <v>104</v>
      </c>
      <c r="C40" s="107">
        <v>114.17500000000001</v>
      </c>
      <c r="D40" s="107">
        <v>-84.8635289845</v>
      </c>
      <c r="E40" s="107">
        <v>-72.73788055835712</v>
      </c>
      <c r="F40" s="107">
        <v>-63.22464280720081</v>
      </c>
      <c r="G40" s="107">
        <v>-52.97984055884109</v>
      </c>
      <c r="H40" s="107">
        <v>-42.187247253253275</v>
      </c>
      <c r="I40" s="107">
        <v>-30.196848083602646</v>
      </c>
      <c r="J40" s="107">
        <v>-17.027981430456748</v>
      </c>
      <c r="K40" s="107">
        <v>-3.45812595221102</v>
      </c>
      <c r="L40" s="108">
        <v>11.24984704897463</v>
      </c>
    </row>
    <row r="41" spans="2:14" ht="15.75" thickBot="1">
      <c r="B41" s="109" t="s">
        <v>105</v>
      </c>
      <c r="C41" s="110">
        <v>103.86</v>
      </c>
      <c r="D41" s="110">
        <v>98.4620193075</v>
      </c>
      <c r="E41" s="110">
        <v>93.32635115019251</v>
      </c>
      <c r="F41" s="110">
        <v>88.44392476080071</v>
      </c>
      <c r="G41" s="110">
        <v>83.80621278909979</v>
      </c>
      <c r="H41" s="110">
        <v>79.39855073677627</v>
      </c>
      <c r="I41" s="110">
        <v>75.20742876240364</v>
      </c>
      <c r="J41" s="110">
        <v>71.21878397613236</v>
      </c>
      <c r="K41" s="110">
        <v>67.41935087448566</v>
      </c>
      <c r="L41" s="111">
        <v>63.79811427289642</v>
      </c>
      <c r="N41" s="87"/>
    </row>
    <row r="42" spans="2:14" ht="15">
      <c r="B42" s="112" t="s">
        <v>106</v>
      </c>
      <c r="C42" s="148">
        <f>Assumptions!P21</f>
        <v>0.026500000000000003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2:14" ht="15">
      <c r="B43" s="112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2:14" ht="15.75" thickBot="1">
      <c r="B44" s="116" t="s">
        <v>107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2:13" ht="15">
      <c r="B45" s="117" t="s">
        <v>108</v>
      </c>
      <c r="C45" s="118">
        <v>0</v>
      </c>
      <c r="D45" s="119">
        <v>1</v>
      </c>
      <c r="E45" s="119">
        <v>2</v>
      </c>
      <c r="F45" s="119">
        <v>3</v>
      </c>
      <c r="G45" s="119">
        <v>4</v>
      </c>
      <c r="H45" s="119">
        <v>5</v>
      </c>
      <c r="I45" s="119">
        <v>6</v>
      </c>
      <c r="J45" s="119">
        <v>7</v>
      </c>
      <c r="K45" s="119">
        <v>8</v>
      </c>
      <c r="L45" s="119">
        <v>9</v>
      </c>
      <c r="M45" s="120">
        <v>10</v>
      </c>
    </row>
    <row r="46" spans="2:14" ht="14.25">
      <c r="B46" s="121" t="s">
        <v>109</v>
      </c>
      <c r="C46" s="122">
        <v>1611.7038892159</v>
      </c>
      <c r="D46" s="122">
        <v>1423.4515422801214</v>
      </c>
      <c r="E46" s="122">
        <v>1242.2144665146068</v>
      </c>
      <c r="F46" s="122">
        <v>1067.5952394446776</v>
      </c>
      <c r="G46" s="122">
        <v>899.2060783528691</v>
      </c>
      <c r="H46" s="122">
        <v>736.6678872888151</v>
      </c>
      <c r="I46" s="122">
        <v>579.62413497766</v>
      </c>
      <c r="J46" s="122">
        <v>427.73888507318304</v>
      </c>
      <c r="K46" s="122">
        <v>280.698571785205</v>
      </c>
      <c r="L46" s="122">
        <v>138.21081948201132</v>
      </c>
      <c r="M46" s="123">
        <v>0</v>
      </c>
      <c r="N46" s="124" t="s">
        <v>110</v>
      </c>
    </row>
    <row r="47" spans="2:14" ht="14.25">
      <c r="B47" s="121" t="s">
        <v>111</v>
      </c>
      <c r="C47" s="122">
        <v>993.4694840186631</v>
      </c>
      <c r="D47" s="122">
        <v>915.9214253451576</v>
      </c>
      <c r="E47" s="122">
        <v>832.473846257429</v>
      </c>
      <c r="F47" s="122">
        <v>745.0201624126971</v>
      </c>
      <c r="G47" s="122">
        <v>655.5495114617454</v>
      </c>
      <c r="H47" s="122">
        <v>562.7776485615811</v>
      </c>
      <c r="I47" s="122">
        <v>465.59985915834335</v>
      </c>
      <c r="J47" s="122">
        <v>362.25958466930933</v>
      </c>
      <c r="K47" s="122">
        <v>251.00147525756435</v>
      </c>
      <c r="L47" s="122">
        <v>130.82790673488</v>
      </c>
      <c r="M47" s="123">
        <v>0</v>
      </c>
      <c r="N47" s="124"/>
    </row>
    <row r="48" spans="2:14" ht="14.25">
      <c r="B48" s="121" t="s">
        <v>112</v>
      </c>
      <c r="C48" s="122">
        <v>238.08519446079504</v>
      </c>
      <c r="D48" s="122">
        <v>71.17257711400607</v>
      </c>
      <c r="E48" s="122">
        <v>62.11072332573035</v>
      </c>
      <c r="F48" s="122">
        <v>53.37976197223389</v>
      </c>
      <c r="G48" s="122">
        <v>44.96030391764346</v>
      </c>
      <c r="H48" s="122">
        <v>36.83339436444076</v>
      </c>
      <c r="I48" s="122">
        <v>28.981206748883004</v>
      </c>
      <c r="J48" s="122">
        <v>21.386944253659152</v>
      </c>
      <c r="K48" s="122">
        <v>14.03492858926025</v>
      </c>
      <c r="L48" s="122">
        <v>6.910540974100567</v>
      </c>
      <c r="M48" s="123">
        <v>0</v>
      </c>
      <c r="N48" s="124" t="s">
        <v>110</v>
      </c>
    </row>
    <row r="49" spans="2:14" ht="14.25">
      <c r="B49" s="121" t="s">
        <v>112</v>
      </c>
      <c r="C49" s="122">
        <v>56.25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3">
        <v>0</v>
      </c>
      <c r="N49" s="124" t="s">
        <v>110</v>
      </c>
    </row>
    <row r="50" spans="2:14" ht="14.25">
      <c r="B50" s="121" t="s">
        <v>113</v>
      </c>
      <c r="C50" s="122">
        <v>82.95221910707549</v>
      </c>
      <c r="D50" s="122">
        <v>74.57750291341297</v>
      </c>
      <c r="E50" s="122">
        <v>66.22966821521547</v>
      </c>
      <c r="F50" s="122">
        <v>57.905542056107706</v>
      </c>
      <c r="G50" s="122">
        <v>49.60156948609102</v>
      </c>
      <c r="H50" s="122">
        <v>41.31376184291709</v>
      </c>
      <c r="I50" s="122">
        <v>33.03842619213351</v>
      </c>
      <c r="J50" s="122">
        <v>24.772139568510713</v>
      </c>
      <c r="K50" s="122">
        <v>16.511925248370567</v>
      </c>
      <c r="L50" s="122">
        <v>8.255279293531052</v>
      </c>
      <c r="M50" s="123">
        <v>0</v>
      </c>
      <c r="N50" s="124" t="s">
        <v>110</v>
      </c>
    </row>
    <row r="51" spans="1:17" s="125" customFormat="1" ht="14.25">
      <c r="A51" s="51"/>
      <c r="B51" s="121" t="s">
        <v>114</v>
      </c>
      <c r="C51" s="122">
        <v>-240.94699162936627</v>
      </c>
      <c r="D51" s="122">
        <v>-361.78003690754485</v>
      </c>
      <c r="E51" s="122">
        <v>-281.40022871623194</v>
      </c>
      <c r="F51" s="122">
        <v>-211.28977300363897</v>
      </c>
      <c r="G51" s="122">
        <v>-149.09469348738912</v>
      </c>
      <c r="H51" s="122">
        <v>-95.74308251987611</v>
      </c>
      <c r="I51" s="122">
        <v>-52.00464287830016</v>
      </c>
      <c r="J51" s="122">
        <v>-19.32021658170379</v>
      </c>
      <c r="K51" s="122">
        <v>0.8497573099901956</v>
      </c>
      <c r="L51" s="122">
        <v>7.782907520500316</v>
      </c>
      <c r="M51" s="123">
        <v>0</v>
      </c>
      <c r="N51" s="51"/>
      <c r="O51" s="51"/>
      <c r="P51" s="51"/>
      <c r="Q51" s="51"/>
    </row>
    <row r="52" spans="2:13" ht="14.25">
      <c r="B52" s="121" t="s">
        <v>115</v>
      </c>
      <c r="C52" s="152">
        <v>43.48538813027138</v>
      </c>
      <c r="D52" s="152">
        <v>38.40615091572356</v>
      </c>
      <c r="E52" s="152">
        <v>33.51619275654024</v>
      </c>
      <c r="F52" s="152">
        <v>28.804790795577006</v>
      </c>
      <c r="G52" s="152">
        <v>24.261482266011747</v>
      </c>
      <c r="H52" s="152">
        <v>19.876038778715074</v>
      </c>
      <c r="I52" s="152">
        <v>15.638840762144444</v>
      </c>
      <c r="J52" s="152">
        <v>11.540824316597055</v>
      </c>
      <c r="K52" s="152">
        <v>7.573529122418935</v>
      </c>
      <c r="L52" s="152">
        <v>3.729066591693897</v>
      </c>
      <c r="M52" s="153">
        <v>0</v>
      </c>
    </row>
    <row r="53" spans="2:13" ht="14.25">
      <c r="B53" s="121" t="s">
        <v>116</v>
      </c>
      <c r="C53" s="152">
        <f>MAX(0,-C51-C52)</f>
        <v>197.46160349909488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7"/>
    </row>
    <row r="54" spans="1:17" ht="15.75" thickBot="1">
      <c r="A54" s="125"/>
      <c r="B54" s="128" t="s">
        <v>117</v>
      </c>
      <c r="C54" s="156">
        <f aca="true" t="shared" si="8" ref="C54">SUM(C53,C52,C51)</f>
        <v>0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30"/>
      <c r="N54" s="125"/>
      <c r="O54" s="125"/>
      <c r="P54" s="125"/>
      <c r="Q54" s="125"/>
    </row>
    <row r="55" spans="2:14" ht="14.25">
      <c r="B55" s="87"/>
      <c r="C55" s="87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</row>
    <row r="56" spans="2:14" ht="14.25">
      <c r="B56" s="87"/>
      <c r="C56" s="87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</row>
    <row r="57" spans="2:14" ht="15.75" thickBot="1">
      <c r="B57" s="116" t="s">
        <v>118</v>
      </c>
      <c r="C57" s="87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</row>
    <row r="58" spans="2:14" s="124" customFormat="1" ht="15">
      <c r="B58" s="117" t="s">
        <v>108</v>
      </c>
      <c r="C58" s="118">
        <v>0</v>
      </c>
      <c r="D58" s="119">
        <f>C58+1</f>
        <v>1</v>
      </c>
      <c r="E58" s="119">
        <f aca="true" t="shared" si="9" ref="E58:M58">D58+1</f>
        <v>2</v>
      </c>
      <c r="F58" s="119">
        <f t="shared" si="9"/>
        <v>3</v>
      </c>
      <c r="G58" s="119">
        <f t="shared" si="9"/>
        <v>4</v>
      </c>
      <c r="H58" s="119">
        <f t="shared" si="9"/>
        <v>5</v>
      </c>
      <c r="I58" s="119">
        <f t="shared" si="9"/>
        <v>6</v>
      </c>
      <c r="J58" s="119">
        <f t="shared" si="9"/>
        <v>7</v>
      </c>
      <c r="K58" s="119">
        <f t="shared" si="9"/>
        <v>8</v>
      </c>
      <c r="L58" s="119">
        <f t="shared" si="9"/>
        <v>9</v>
      </c>
      <c r="M58" s="120">
        <f t="shared" si="9"/>
        <v>10</v>
      </c>
      <c r="N58" s="132"/>
    </row>
    <row r="59" spans="2:14" ht="14.25">
      <c r="B59" s="121" t="s">
        <v>119</v>
      </c>
      <c r="C59" s="152">
        <f>-C51</f>
        <v>240.94699162936627</v>
      </c>
      <c r="D59" s="126"/>
      <c r="E59" s="126"/>
      <c r="F59" s="126"/>
      <c r="G59" s="126"/>
      <c r="H59" s="126"/>
      <c r="I59" s="126"/>
      <c r="J59" s="126"/>
      <c r="K59" s="126"/>
      <c r="L59" s="127"/>
      <c r="M59" s="127"/>
      <c r="N59" s="131"/>
    </row>
    <row r="60" spans="2:14" ht="15">
      <c r="B60" s="133" t="s">
        <v>117</v>
      </c>
      <c r="C60" s="152">
        <f aca="true" t="shared" si="10" ref="C60">C59+C51</f>
        <v>0</v>
      </c>
      <c r="D60" s="126"/>
      <c r="E60" s="126"/>
      <c r="F60" s="126"/>
      <c r="G60" s="126"/>
      <c r="H60" s="126"/>
      <c r="I60" s="126"/>
      <c r="J60" s="126"/>
      <c r="K60" s="126"/>
      <c r="L60" s="127"/>
      <c r="M60" s="127"/>
      <c r="N60" s="131"/>
    </row>
    <row r="61" spans="2:14" ht="15" thickBot="1">
      <c r="B61" s="134" t="s">
        <v>120</v>
      </c>
      <c r="C61" s="154">
        <v>2937.3476695621566</v>
      </c>
      <c r="D61" s="154">
        <v>2608.472669562157</v>
      </c>
      <c r="E61" s="154">
        <v>2287.4472383277825</v>
      </c>
      <c r="F61" s="154">
        <v>1975.7528607500522</v>
      </c>
      <c r="G61" s="154">
        <v>1674.9362189076405</v>
      </c>
      <c r="H61" s="154">
        <v>1383.2363737000574</v>
      </c>
      <c r="I61" s="154">
        <v>1099.1377176481178</v>
      </c>
      <c r="J61" s="154">
        <v>820.5313416002185</v>
      </c>
      <c r="K61" s="154">
        <v>545.3865594856113</v>
      </c>
      <c r="L61" s="155">
        <v>272.5056657453656</v>
      </c>
      <c r="M61" s="155">
        <v>0</v>
      </c>
      <c r="N61" s="131"/>
    </row>
    <row r="62" spans="2:14" ht="14.25"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87"/>
    </row>
    <row r="63" spans="2:14" ht="14.25"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87"/>
    </row>
    <row r="64" spans="2:14" ht="14.25"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87"/>
    </row>
    <row r="65" spans="2:13" ht="1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2:13" ht="1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2:13" ht="1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2:13" ht="1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</sheetData>
  <mergeCells count="16">
    <mergeCell ref="B11:C11"/>
    <mergeCell ref="B6:C6"/>
    <mergeCell ref="B9:C9"/>
    <mergeCell ref="B10:C10"/>
    <mergeCell ref="B27:C27"/>
    <mergeCell ref="B12:C12"/>
    <mergeCell ref="B13:C13"/>
    <mergeCell ref="B14:C14"/>
    <mergeCell ref="B15:C15"/>
    <mergeCell ref="B16:C16"/>
    <mergeCell ref="B17:C17"/>
    <mergeCell ref="B18:C18"/>
    <mergeCell ref="B23:C23"/>
    <mergeCell ref="B24:C24"/>
    <mergeCell ref="B25:C25"/>
    <mergeCell ref="B26:C26"/>
  </mergeCells>
  <printOptions/>
  <pageMargins left="0.75" right="0.75" top="0.75" bottom="0.75" header="0.5" footer="0.5"/>
  <pageSetup fitToHeight="1" fitToWidth="1" horizontalDpi="600" verticalDpi="600" orientation="landscape" scale="35" r:id="rId1"/>
  <colBreaks count="1" manualBreakCount="1">
    <brk id="2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view="pageBreakPreview" zoomScale="70" zoomScaleSheetLayoutView="70" workbookViewId="0" topLeftCell="A1">
      <selection activeCell="H23" sqref="H23"/>
    </sheetView>
  </sheetViews>
  <sheetFormatPr defaultColWidth="9.140625" defaultRowHeight="15"/>
  <cols>
    <col min="1" max="1" width="2.140625" style="51" customWidth="1"/>
    <col min="2" max="2" width="41.140625" style="51" customWidth="1"/>
    <col min="3" max="3" width="19.57421875" style="51" customWidth="1"/>
    <col min="4" max="4" width="9.421875" style="51" customWidth="1"/>
    <col min="5" max="5" width="10.140625" style="51" bestFit="1" customWidth="1"/>
    <col min="6" max="6" width="10.421875" style="51" bestFit="1" customWidth="1"/>
    <col min="7" max="7" width="11.7109375" style="51" customWidth="1"/>
    <col min="8" max="10" width="10.140625" style="51" bestFit="1" customWidth="1"/>
    <col min="11" max="13" width="9.8515625" style="51" bestFit="1" customWidth="1"/>
    <col min="14" max="14" width="9.421875" style="51" bestFit="1" customWidth="1"/>
    <col min="15" max="15" width="5.00390625" style="51" customWidth="1"/>
    <col min="16" max="16" width="58.140625" style="51" customWidth="1"/>
    <col min="17" max="17" width="9.28125" style="51" bestFit="1" customWidth="1"/>
    <col min="18" max="18" width="10.7109375" style="51" customWidth="1"/>
    <col min="19" max="125" width="9.28125" style="51" bestFit="1" customWidth="1"/>
    <col min="126" max="16384" width="9.140625" style="51" customWidth="1"/>
  </cols>
  <sheetData>
    <row r="1" spans="2:14" ht="23.25">
      <c r="B1" s="52" t="str">
        <f>"Ten Year Term Life Contract - Mortality up "&amp;C32*100&amp;"%"</f>
        <v>Ten Year Term Life Contract - Mortality up 25%</v>
      </c>
      <c r="F1" s="4" t="s">
        <v>1</v>
      </c>
      <c r="G1" s="53"/>
      <c r="H1" s="53"/>
      <c r="I1" s="53"/>
      <c r="J1" s="53"/>
      <c r="K1" s="53"/>
      <c r="L1" s="53"/>
      <c r="M1" s="53"/>
      <c r="N1" s="53"/>
    </row>
    <row r="2" spans="2:16" ht="20.25">
      <c r="B2" s="54" t="s">
        <v>60</v>
      </c>
      <c r="C2" s="55"/>
      <c r="D2" s="158" t="s">
        <v>129</v>
      </c>
      <c r="E2" s="159"/>
      <c r="F2" s="159"/>
      <c r="G2" s="160"/>
      <c r="H2" s="161"/>
      <c r="I2" s="161"/>
      <c r="J2" s="161"/>
      <c r="K2" s="161"/>
      <c r="L2" s="161"/>
      <c r="M2" s="161"/>
      <c r="P2" s="54" t="s">
        <v>61</v>
      </c>
    </row>
    <row r="3" ht="8.25" customHeight="1" thickBot="1"/>
    <row r="4" spans="2:17" ht="16.5" thickBot="1">
      <c r="B4" s="157" t="s">
        <v>127</v>
      </c>
      <c r="C4" s="57">
        <f>(C51+C52)*(C51+C52&gt;0)</f>
        <v>50.82698648055824</v>
      </c>
      <c r="O4" s="56"/>
      <c r="P4" s="157" t="s">
        <v>127</v>
      </c>
      <c r="Q4" s="57">
        <f>(C51)*(C51&gt;0)</f>
        <v>7.3415983502868585</v>
      </c>
    </row>
    <row r="5" ht="15">
      <c r="O5" s="56"/>
    </row>
    <row r="6" spans="2:17" ht="21" thickBot="1">
      <c r="B6" s="170" t="s">
        <v>62</v>
      </c>
      <c r="C6" s="170"/>
      <c r="D6" s="54" t="s">
        <v>63</v>
      </c>
      <c r="O6" s="56"/>
      <c r="P6" s="58" t="s">
        <v>62</v>
      </c>
      <c r="Q6" s="54" t="s">
        <v>64</v>
      </c>
    </row>
    <row r="7" spans="2:27" ht="15">
      <c r="B7" s="59" t="s">
        <v>121</v>
      </c>
      <c r="C7" s="60"/>
      <c r="D7" s="61" t="s">
        <v>65</v>
      </c>
      <c r="E7" s="61" t="s">
        <v>66</v>
      </c>
      <c r="F7" s="61" t="s">
        <v>67</v>
      </c>
      <c r="G7" s="61" t="s">
        <v>68</v>
      </c>
      <c r="H7" s="61" t="s">
        <v>69</v>
      </c>
      <c r="I7" s="61" t="s">
        <v>70</v>
      </c>
      <c r="J7" s="61" t="s">
        <v>71</v>
      </c>
      <c r="K7" s="61" t="s">
        <v>72</v>
      </c>
      <c r="L7" s="61" t="s">
        <v>73</v>
      </c>
      <c r="M7" s="61" t="s">
        <v>74</v>
      </c>
      <c r="N7" s="62" t="s">
        <v>75</v>
      </c>
      <c r="O7" s="63"/>
      <c r="P7" s="64"/>
      <c r="Q7" s="61" t="s">
        <v>65</v>
      </c>
      <c r="R7" s="61" t="s">
        <v>66</v>
      </c>
      <c r="S7" s="61" t="s">
        <v>67</v>
      </c>
      <c r="T7" s="61" t="s">
        <v>68</v>
      </c>
      <c r="U7" s="61" t="s">
        <v>69</v>
      </c>
      <c r="V7" s="61" t="s">
        <v>70</v>
      </c>
      <c r="W7" s="61" t="s">
        <v>71</v>
      </c>
      <c r="X7" s="61" t="s">
        <v>72</v>
      </c>
      <c r="Y7" s="61" t="s">
        <v>73</v>
      </c>
      <c r="Z7" s="61" t="s">
        <v>74</v>
      </c>
      <c r="AA7" s="62" t="s">
        <v>75</v>
      </c>
    </row>
    <row r="8" spans="2:27" s="71" customFormat="1" ht="14.25">
      <c r="B8" s="65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69"/>
      <c r="P8" s="70"/>
      <c r="Q8" s="67"/>
      <c r="R8" s="67"/>
      <c r="S8" s="67"/>
      <c r="T8" s="67"/>
      <c r="U8" s="67"/>
      <c r="V8" s="67"/>
      <c r="W8" s="67"/>
      <c r="X8" s="67"/>
      <c r="Y8" s="67"/>
      <c r="Z8" s="67"/>
      <c r="AA8" s="68"/>
    </row>
    <row r="9" spans="2:27" s="71" customFormat="1" ht="14.25">
      <c r="B9" s="171" t="s">
        <v>76</v>
      </c>
      <c r="C9" s="172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9"/>
      <c r="P9" s="72" t="str">
        <f>B9</f>
        <v xml:space="preserve">(a) Underwriting margin </v>
      </c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2:27" s="71" customFormat="1" ht="14.25">
      <c r="B10" s="168" t="s">
        <v>77</v>
      </c>
      <c r="C10" s="169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68">
        <f>SUM(D10:M10)</f>
        <v>0</v>
      </c>
      <c r="O10" s="69"/>
      <c r="P10" s="70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8">
        <f>SUM(Q10:Z10)</f>
        <v>0</v>
      </c>
    </row>
    <row r="11" spans="2:27" s="71" customFormat="1" ht="14.25">
      <c r="B11" s="168" t="s">
        <v>78</v>
      </c>
      <c r="C11" s="169"/>
      <c r="D11" s="74"/>
      <c r="E11" s="74"/>
      <c r="F11" s="74"/>
      <c r="G11" s="74"/>
      <c r="H11" s="74"/>
      <c r="I11" s="75"/>
      <c r="J11" s="75"/>
      <c r="K11" s="75"/>
      <c r="L11" s="75"/>
      <c r="M11" s="75"/>
      <c r="N11" s="68">
        <f>SUM(D11:M11)</f>
        <v>0</v>
      </c>
      <c r="O11" s="69"/>
      <c r="P11" s="76" t="s">
        <v>79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68">
        <f>SUM(Q11:Z11)</f>
        <v>0</v>
      </c>
    </row>
    <row r="12" spans="2:27" s="71" customFormat="1" ht="14.25" customHeight="1">
      <c r="B12" s="168" t="s">
        <v>80</v>
      </c>
      <c r="C12" s="169"/>
      <c r="D12" s="150"/>
      <c r="E12" s="74"/>
      <c r="F12" s="74"/>
      <c r="G12" s="74"/>
      <c r="H12" s="74"/>
      <c r="I12" s="74"/>
      <c r="J12" s="74"/>
      <c r="K12" s="74"/>
      <c r="L12" s="74"/>
      <c r="M12" s="74"/>
      <c r="N12" s="68">
        <f>SUM(D12:M12)</f>
        <v>0</v>
      </c>
      <c r="O12" s="69"/>
      <c r="P12" s="76" t="s">
        <v>80</v>
      </c>
      <c r="Q12" s="150"/>
      <c r="R12" s="74"/>
      <c r="S12" s="74"/>
      <c r="T12" s="74"/>
      <c r="U12" s="74"/>
      <c r="V12" s="74"/>
      <c r="W12" s="74"/>
      <c r="X12" s="74"/>
      <c r="Y12" s="74"/>
      <c r="Z12" s="74"/>
      <c r="AA12" s="68">
        <f>SUM(Q12:Z12)</f>
        <v>0</v>
      </c>
    </row>
    <row r="13" spans="2:27" s="71" customFormat="1" ht="17.25" customHeight="1">
      <c r="B13" s="171" t="s">
        <v>81</v>
      </c>
      <c r="C13" s="175"/>
      <c r="D13" s="136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9"/>
      <c r="P13" s="72" t="str">
        <f aca="true" t="shared" si="0" ref="P13:P26">B13</f>
        <v>(b) Gains / losses at initial recognition</v>
      </c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8"/>
    </row>
    <row r="14" spans="2:27" s="71" customFormat="1" ht="15.75" customHeight="1">
      <c r="B14" s="168" t="s">
        <v>82</v>
      </c>
      <c r="C14" s="169"/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8">
        <f>SUM(D14:M14)</f>
        <v>0</v>
      </c>
      <c r="O14" s="69"/>
      <c r="P14" s="76" t="str">
        <f t="shared" si="0"/>
        <v>Losses on insurance contracts acquired in a portfolio transfer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8">
        <f>SUM(Q14:Z14)</f>
        <v>0</v>
      </c>
    </row>
    <row r="15" spans="2:27" s="71" customFormat="1" ht="15.75" customHeight="1">
      <c r="B15" s="168" t="s">
        <v>83</v>
      </c>
      <c r="C15" s="169"/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f>SUM(D15:M15)</f>
        <v>0</v>
      </c>
      <c r="O15" s="69"/>
      <c r="P15" s="76" t="str">
        <f t="shared" si="0"/>
        <v xml:space="preserve">Gains on reinsurance contracts bought by the cedant 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8">
        <f>SUM(Q15:Z15)</f>
        <v>0</v>
      </c>
    </row>
    <row r="16" spans="2:27" s="71" customFormat="1" ht="16.5" customHeight="1">
      <c r="B16" s="168" t="s">
        <v>84</v>
      </c>
      <c r="C16" s="169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68">
        <f>SUM(D16:M16)</f>
        <v>0</v>
      </c>
      <c r="O16" s="69"/>
      <c r="P16" s="76" t="str">
        <f t="shared" si="0"/>
        <v>Losses at initial recognition of an insurance contract</v>
      </c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68">
        <f>SUM(Q16:Z16)</f>
        <v>0</v>
      </c>
    </row>
    <row r="17" spans="2:27" s="71" customFormat="1" ht="16.5" customHeight="1">
      <c r="B17" s="173" t="s">
        <v>85</v>
      </c>
      <c r="C17" s="1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68">
        <f>SUM(D17:M17)</f>
        <v>0</v>
      </c>
      <c r="O17" s="69"/>
      <c r="P17" s="72" t="str">
        <f t="shared" si="0"/>
        <v xml:space="preserve">(c) Acquisition costs that are not incremental 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68">
        <f>SUM(Q17:Z17)</f>
        <v>0</v>
      </c>
    </row>
    <row r="18" spans="2:27" s="71" customFormat="1" ht="17.25" customHeight="1">
      <c r="B18" s="173" t="s">
        <v>86</v>
      </c>
      <c r="C18" s="17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69"/>
      <c r="P18" s="72" t="str">
        <f t="shared" si="0"/>
        <v>(d) Experience variances and changes in estimates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8"/>
    </row>
    <row r="19" spans="2:27" s="71" customFormat="1" ht="14.25">
      <c r="B19" s="78" t="s">
        <v>87</v>
      </c>
      <c r="C19" s="66"/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  <c r="O19" s="69"/>
      <c r="P19" s="76" t="s">
        <v>87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8">
        <v>0</v>
      </c>
    </row>
    <row r="20" spans="2:27" s="71" customFormat="1" ht="14.25">
      <c r="B20" s="78" t="s">
        <v>88</v>
      </c>
      <c r="C20" s="66"/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8">
        <v>0</v>
      </c>
      <c r="O20" s="69"/>
      <c r="P20" s="76" t="s">
        <v>88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8">
        <v>0</v>
      </c>
    </row>
    <row r="21" spans="2:27" s="71" customFormat="1" ht="14.25">
      <c r="B21" s="78" t="s">
        <v>89</v>
      </c>
      <c r="C21" s="66"/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8">
        <v>0</v>
      </c>
      <c r="O21" s="69"/>
      <c r="P21" s="76" t="s">
        <v>89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8">
        <v>0</v>
      </c>
    </row>
    <row r="22" spans="2:27" s="71" customFormat="1" ht="14.25" customHeight="1">
      <c r="B22" s="78" t="s">
        <v>90</v>
      </c>
      <c r="C22" s="66"/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8">
        <v>0</v>
      </c>
      <c r="O22" s="69"/>
      <c r="P22" s="76" t="s">
        <v>90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8">
        <v>0</v>
      </c>
    </row>
    <row r="23" spans="2:27" s="71" customFormat="1" ht="16.5" customHeight="1">
      <c r="B23" s="173" t="s">
        <v>91</v>
      </c>
      <c r="C23" s="174"/>
      <c r="D23" s="149">
        <v>0.07839764371777846</v>
      </c>
      <c r="E23" s="149">
        <v>-1.5794595060523022</v>
      </c>
      <c r="F23" s="149">
        <v>-2.879382842312367</v>
      </c>
      <c r="G23" s="149">
        <v>-3.8938282476976553</v>
      </c>
      <c r="H23" s="149">
        <v>-4.698118298234647</v>
      </c>
      <c r="I23" s="149">
        <v>-5.258663600934341</v>
      </c>
      <c r="J23" s="149">
        <v>-5.547396387189991</v>
      </c>
      <c r="K23" s="149">
        <v>-5.514276014049273</v>
      </c>
      <c r="L23" s="149">
        <v>-5.108959586138582</v>
      </c>
      <c r="M23" s="149">
        <v>-4.3058894012589235</v>
      </c>
      <c r="N23" s="68">
        <f aca="true" t="shared" si="1" ref="N23">SUM(D23:M23)</f>
        <v>-38.7075762401503</v>
      </c>
      <c r="O23" s="69"/>
      <c r="P23" s="72" t="s">
        <v>91</v>
      </c>
      <c r="Q23" s="67">
        <f>D23</f>
        <v>0.07839764371777846</v>
      </c>
      <c r="R23" s="67">
        <f aca="true" t="shared" si="2" ref="R23:Z23">E23</f>
        <v>-1.5794595060523022</v>
      </c>
      <c r="S23" s="67">
        <f t="shared" si="2"/>
        <v>-2.879382842312367</v>
      </c>
      <c r="T23" s="67">
        <f t="shared" si="2"/>
        <v>-3.8938282476976553</v>
      </c>
      <c r="U23" s="67">
        <f t="shared" si="2"/>
        <v>-4.698118298234647</v>
      </c>
      <c r="V23" s="67">
        <f t="shared" si="2"/>
        <v>-5.258663600934341</v>
      </c>
      <c r="W23" s="67">
        <f t="shared" si="2"/>
        <v>-5.547396387189991</v>
      </c>
      <c r="X23" s="67">
        <f t="shared" si="2"/>
        <v>-5.514276014049273</v>
      </c>
      <c r="Y23" s="67">
        <f t="shared" si="2"/>
        <v>-5.108959586138582</v>
      </c>
      <c r="Z23" s="67">
        <f t="shared" si="2"/>
        <v>-4.3058894012589235</v>
      </c>
      <c r="AA23" s="68">
        <v>0</v>
      </c>
    </row>
    <row r="24" spans="2:27" s="71" customFormat="1" ht="14.25">
      <c r="B24" s="168" t="s">
        <v>92</v>
      </c>
      <c r="C24" s="169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9"/>
      <c r="P24" s="76" t="s">
        <v>92</v>
      </c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8"/>
    </row>
    <row r="25" spans="2:27" s="71" customFormat="1" ht="15.75" customHeight="1">
      <c r="B25" s="168" t="s">
        <v>93</v>
      </c>
      <c r="C25" s="169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9"/>
      <c r="P25" s="76" t="s">
        <v>93</v>
      </c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8"/>
    </row>
    <row r="26" spans="2:27" s="71" customFormat="1" ht="15.75" customHeight="1">
      <c r="B26" s="168" t="s">
        <v>94</v>
      </c>
      <c r="C26" s="169"/>
      <c r="D26" s="67">
        <f>SUM(D10:D25)</f>
        <v>0.07839764371777846</v>
      </c>
      <c r="E26" s="67">
        <f>SUM(E10:E25)</f>
        <v>-1.5794595060523022</v>
      </c>
      <c r="F26" s="67">
        <f aca="true" t="shared" si="3" ref="F26:M26">SUM(F10:F25)</f>
        <v>-2.879382842312367</v>
      </c>
      <c r="G26" s="67">
        <f t="shared" si="3"/>
        <v>-3.8938282476976553</v>
      </c>
      <c r="H26" s="67">
        <f t="shared" si="3"/>
        <v>-4.698118298234647</v>
      </c>
      <c r="I26" s="67">
        <f t="shared" si="3"/>
        <v>-5.258663600934341</v>
      </c>
      <c r="J26" s="67">
        <f t="shared" si="3"/>
        <v>-5.547396387189991</v>
      </c>
      <c r="K26" s="67">
        <f t="shared" si="3"/>
        <v>-5.514276014049273</v>
      </c>
      <c r="L26" s="67">
        <f t="shared" si="3"/>
        <v>-5.108959586138582</v>
      </c>
      <c r="M26" s="67">
        <f t="shared" si="3"/>
        <v>-4.3058894012589235</v>
      </c>
      <c r="N26" s="68">
        <v>0</v>
      </c>
      <c r="O26" s="69"/>
      <c r="P26" s="76" t="str">
        <f t="shared" si="0"/>
        <v>Profit / (loss) before Investment Income</v>
      </c>
      <c r="Q26" s="67">
        <f>SUM(Q10:Q25)</f>
        <v>0.07839764371777846</v>
      </c>
      <c r="R26" s="67">
        <f>SUM(R10:R25)</f>
        <v>-1.5794595060523022</v>
      </c>
      <c r="S26" s="67">
        <f aca="true" t="shared" si="4" ref="S26:Z26">SUM(S10:S25)</f>
        <v>-2.879382842312367</v>
      </c>
      <c r="T26" s="67">
        <f t="shared" si="4"/>
        <v>-3.8938282476976553</v>
      </c>
      <c r="U26" s="67">
        <f t="shared" si="4"/>
        <v>-4.698118298234647</v>
      </c>
      <c r="V26" s="67">
        <f t="shared" si="4"/>
        <v>-5.258663600934341</v>
      </c>
      <c r="W26" s="67">
        <f t="shared" si="4"/>
        <v>-5.547396387189991</v>
      </c>
      <c r="X26" s="67">
        <f t="shared" si="4"/>
        <v>-5.514276014049273</v>
      </c>
      <c r="Y26" s="67">
        <f t="shared" si="4"/>
        <v>-5.108959586138582</v>
      </c>
      <c r="Z26" s="67">
        <f t="shared" si="4"/>
        <v>-4.3058894012589235</v>
      </c>
      <c r="AA26" s="68">
        <v>0</v>
      </c>
    </row>
    <row r="27" spans="2:27" s="71" customFormat="1" ht="16.5" customHeight="1">
      <c r="B27" s="173" t="s">
        <v>95</v>
      </c>
      <c r="C27" s="174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68"/>
      <c r="O27" s="69"/>
      <c r="P27" s="72" t="s">
        <v>95</v>
      </c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8"/>
    </row>
    <row r="28" spans="2:27" s="71" customFormat="1" ht="15.75" thickBot="1">
      <c r="B28" s="79" t="s">
        <v>128</v>
      </c>
      <c r="C28" s="80"/>
      <c r="D28" s="81">
        <f>SUM(D26:D27)</f>
        <v>0.07839764371777846</v>
      </c>
      <c r="E28" s="81">
        <f aca="true" t="shared" si="5" ref="E28:M28">SUM(E26:E27)</f>
        <v>-1.5794595060523022</v>
      </c>
      <c r="F28" s="81">
        <f t="shared" si="5"/>
        <v>-2.879382842312367</v>
      </c>
      <c r="G28" s="81">
        <f t="shared" si="5"/>
        <v>-3.8938282476976553</v>
      </c>
      <c r="H28" s="81">
        <f t="shared" si="5"/>
        <v>-4.698118298234647</v>
      </c>
      <c r="I28" s="81">
        <f t="shared" si="5"/>
        <v>-5.258663600934341</v>
      </c>
      <c r="J28" s="81">
        <f t="shared" si="5"/>
        <v>-5.547396387189991</v>
      </c>
      <c r="K28" s="81">
        <f t="shared" si="5"/>
        <v>-5.514276014049273</v>
      </c>
      <c r="L28" s="81">
        <f t="shared" si="5"/>
        <v>-5.108959586138582</v>
      </c>
      <c r="M28" s="81">
        <f t="shared" si="5"/>
        <v>-4.3058894012589235</v>
      </c>
      <c r="N28" s="82">
        <f aca="true" t="shared" si="6" ref="N28">SUM(D28:M28)</f>
        <v>-38.7075762401503</v>
      </c>
      <c r="O28" s="69"/>
      <c r="P28" s="83" t="str">
        <f>B28</f>
        <v>Net Income before (e) and (f)</v>
      </c>
      <c r="Q28" s="81">
        <f aca="true" t="shared" si="7" ref="Q28:Z28">SUM(Q26:Q27)</f>
        <v>0.07839764371777846</v>
      </c>
      <c r="R28" s="81">
        <f t="shared" si="7"/>
        <v>-1.5794595060523022</v>
      </c>
      <c r="S28" s="81">
        <f t="shared" si="7"/>
        <v>-2.879382842312367</v>
      </c>
      <c r="T28" s="81">
        <f t="shared" si="7"/>
        <v>-3.8938282476976553</v>
      </c>
      <c r="U28" s="81">
        <f t="shared" si="7"/>
        <v>-4.698118298234647</v>
      </c>
      <c r="V28" s="81">
        <f t="shared" si="7"/>
        <v>-5.258663600934341</v>
      </c>
      <c r="W28" s="81">
        <f t="shared" si="7"/>
        <v>-5.547396387189991</v>
      </c>
      <c r="X28" s="81">
        <f t="shared" si="7"/>
        <v>-5.514276014049273</v>
      </c>
      <c r="Y28" s="81">
        <f t="shared" si="7"/>
        <v>-5.108959586138582</v>
      </c>
      <c r="Z28" s="81">
        <f t="shared" si="7"/>
        <v>-4.3058894012589235</v>
      </c>
      <c r="AA28" s="82">
        <f aca="true" t="shared" si="8" ref="AA28">SUM(Q28:Z28)</f>
        <v>-38.7075762401503</v>
      </c>
    </row>
    <row r="29" spans="2:15" ht="21" thickBot="1">
      <c r="B29" s="54"/>
      <c r="O29" s="56"/>
    </row>
    <row r="30" spans="2:15" ht="15.75" thickBot="1">
      <c r="B30" s="84" t="s">
        <v>96</v>
      </c>
      <c r="C30" s="85">
        <v>0</v>
      </c>
      <c r="D30" s="85">
        <f aca="true" t="shared" si="9" ref="D30:M30">C30+1</f>
        <v>1</v>
      </c>
      <c r="E30" s="85">
        <f t="shared" si="9"/>
        <v>2</v>
      </c>
      <c r="F30" s="85">
        <f t="shared" si="9"/>
        <v>3</v>
      </c>
      <c r="G30" s="85">
        <f t="shared" si="9"/>
        <v>4</v>
      </c>
      <c r="H30" s="85">
        <f t="shared" si="9"/>
        <v>5</v>
      </c>
      <c r="I30" s="85">
        <f t="shared" si="9"/>
        <v>6</v>
      </c>
      <c r="J30" s="85">
        <f t="shared" si="9"/>
        <v>7</v>
      </c>
      <c r="K30" s="85">
        <f t="shared" si="9"/>
        <v>8</v>
      </c>
      <c r="L30" s="85">
        <f t="shared" si="9"/>
        <v>9</v>
      </c>
      <c r="M30" s="86">
        <f t="shared" si="9"/>
        <v>10</v>
      </c>
      <c r="N30" s="87"/>
      <c r="O30" s="87"/>
    </row>
    <row r="31" spans="2:15" ht="14.25">
      <c r="B31" s="88" t="s">
        <v>97</v>
      </c>
      <c r="C31" s="89">
        <f>InitFace</f>
        <v>50000</v>
      </c>
      <c r="D31" s="89">
        <f>C31*(1-Assumptions!C14*(1+$C$32))*(1-Assumptions!C15)</f>
        <v>47376.6484375</v>
      </c>
      <c r="E31" s="89">
        <f>D31*(1-Assumptions!D14*(1+$C$32))*(1-Assumptions!D15)</f>
        <v>44879.96568825561</v>
      </c>
      <c r="F31" s="89">
        <f>E31*(1-Assumptions!E14*(1+$C$32))*(1-Assumptions!E15)</f>
        <v>42506.06094065924</v>
      </c>
      <c r="G31" s="89">
        <f>F31*(1-Assumptions!F14*(1+$C$32))*(1-Assumptions!F15)</f>
        <v>40251.28708862984</v>
      </c>
      <c r="H31" s="89">
        <f>G31*(1-Assumptions!G14*(1+$C$32))*(1-Assumptions!G15)</f>
        <v>38108.23309286789</v>
      </c>
      <c r="I31" s="89">
        <f>H31*(1-Assumptions!H14*(1+$C$32))*(1-Assumptions!H15)</f>
        <v>36070.11547089</v>
      </c>
      <c r="J31" s="89">
        <f>I31*(1-Assumptions!I14*(1+$C$32))*(1-Assumptions!I15)</f>
        <v>34129.75742486672</v>
      </c>
      <c r="K31" s="89">
        <f>J31*(1-Assumptions!J14*(1+$C$32))*(1-Assumptions!J15)</f>
        <v>32280.404522152734</v>
      </c>
      <c r="L31" s="89">
        <f>K31*(1-Assumptions!K14*(1+$C$32))*(1-Assumptions!K15)</f>
        <v>30516.5981752491</v>
      </c>
      <c r="M31" s="90">
        <f>L31*(1-Assumptions!L14*(1+$C$32))*(1-Assumptions!L15)</f>
        <v>0</v>
      </c>
      <c r="N31" s="87"/>
      <c r="O31" s="87"/>
    </row>
    <row r="32" spans="2:15" ht="15.75" thickBot="1">
      <c r="B32" s="91" t="s">
        <v>98</v>
      </c>
      <c r="C32" s="92">
        <v>0.25</v>
      </c>
      <c r="D32" s="93" t="s">
        <v>122</v>
      </c>
      <c r="E32" s="93"/>
      <c r="F32" s="93"/>
      <c r="G32" s="93"/>
      <c r="H32" s="93"/>
      <c r="I32" s="93"/>
      <c r="J32" s="93"/>
      <c r="K32" s="93"/>
      <c r="L32" s="93"/>
      <c r="M32" s="94"/>
      <c r="N32" s="87"/>
      <c r="O32" s="87"/>
    </row>
    <row r="33" spans="2:15" ht="21" thickBot="1">
      <c r="B33" s="54" t="s">
        <v>99</v>
      </c>
      <c r="O33" s="56"/>
    </row>
    <row r="34" spans="2:12" s="95" customFormat="1" ht="15">
      <c r="B34" s="96"/>
      <c r="C34" s="97">
        <v>1</v>
      </c>
      <c r="D34" s="97">
        <f>C34+1</f>
        <v>2</v>
      </c>
      <c r="E34" s="97">
        <f aca="true" t="shared" si="10" ref="E34:L34">D34+1</f>
        <v>3</v>
      </c>
      <c r="F34" s="97">
        <f t="shared" si="10"/>
        <v>4</v>
      </c>
      <c r="G34" s="97">
        <f t="shared" si="10"/>
        <v>5</v>
      </c>
      <c r="H34" s="97">
        <f t="shared" si="10"/>
        <v>6</v>
      </c>
      <c r="I34" s="97">
        <f t="shared" si="10"/>
        <v>7</v>
      </c>
      <c r="J34" s="97">
        <f t="shared" si="10"/>
        <v>8</v>
      </c>
      <c r="K34" s="97">
        <f t="shared" si="10"/>
        <v>9</v>
      </c>
      <c r="L34" s="98">
        <f t="shared" si="10"/>
        <v>10</v>
      </c>
    </row>
    <row r="35" spans="2:12" s="99" customFormat="1" ht="15">
      <c r="B35" s="100" t="s">
        <v>100</v>
      </c>
      <c r="C35" s="101">
        <v>225</v>
      </c>
      <c r="D35" s="101">
        <v>213.19491796875002</v>
      </c>
      <c r="E35" s="101">
        <v>201.95984559715023</v>
      </c>
      <c r="F35" s="101">
        <v>191.2772742329666</v>
      </c>
      <c r="G35" s="101">
        <v>181.13079189883427</v>
      </c>
      <c r="H35" s="101">
        <v>171.4870489179055</v>
      </c>
      <c r="I35" s="101">
        <v>162.31551961900502</v>
      </c>
      <c r="J35" s="101">
        <v>153.58390841190027</v>
      </c>
      <c r="K35" s="101">
        <v>145.2618203496873</v>
      </c>
      <c r="L35" s="102">
        <v>137.32469178862092</v>
      </c>
    </row>
    <row r="36" spans="2:12" s="99" customFormat="1" ht="15">
      <c r="B36" s="100" t="s">
        <v>101</v>
      </c>
      <c r="C36" s="101">
        <v>129.84375</v>
      </c>
      <c r="D36" s="101">
        <v>134.57929196777346</v>
      </c>
      <c r="E36" s="101">
        <v>136.7436454564038</v>
      </c>
      <c r="F36" s="101">
        <v>136.2850578909887</v>
      </c>
      <c r="G36" s="101">
        <v>137.35751718994933</v>
      </c>
      <c r="H36" s="101">
        <v>139.69049193104388</v>
      </c>
      <c r="I36" s="101">
        <v>144.05502366186693</v>
      </c>
      <c r="J36" s="101">
        <v>150.384243653319</v>
      </c>
      <c r="K36" s="101">
        <v>157.6696008378898</v>
      </c>
      <c r="L36" s="102">
        <v>166.79228190159586</v>
      </c>
    </row>
    <row r="37" spans="2:12" s="99" customFormat="1" ht="15">
      <c r="B37" s="100" t="s">
        <v>24</v>
      </c>
      <c r="C37" s="101">
        <v>168.75</v>
      </c>
      <c r="D37" s="101">
        <v>10.659745898437501</v>
      </c>
      <c r="E37" s="101">
        <v>10.097992279857513</v>
      </c>
      <c r="F37" s="101">
        <v>9.56386371164833</v>
      </c>
      <c r="G37" s="101">
        <v>9.056539594941714</v>
      </c>
      <c r="H37" s="101">
        <v>8.574352445895276</v>
      </c>
      <c r="I37" s="101">
        <v>8.115775980950252</v>
      </c>
      <c r="J37" s="101">
        <v>7.679195420595014</v>
      </c>
      <c r="K37" s="101">
        <v>7.263091017484365</v>
      </c>
      <c r="L37" s="102">
        <v>6.866234589431047</v>
      </c>
    </row>
    <row r="38" spans="2:12" s="99" customFormat="1" ht="15">
      <c r="B38" s="100" t="s">
        <v>102</v>
      </c>
      <c r="C38" s="101">
        <v>56.25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2">
        <v>0</v>
      </c>
    </row>
    <row r="39" spans="2:12" s="99" customFormat="1" ht="16.5" customHeight="1" thickBot="1">
      <c r="B39" s="103" t="s">
        <v>103</v>
      </c>
      <c r="C39" s="104">
        <v>10.3</v>
      </c>
      <c r="D39" s="104">
        <v>10.05237726546875</v>
      </c>
      <c r="E39" s="104">
        <v>9.808310053326098</v>
      </c>
      <c r="F39" s="104">
        <v>9.568189213421771</v>
      </c>
      <c r="G39" s="104">
        <v>9.332454715810979</v>
      </c>
      <c r="H39" s="104">
        <v>9.100644648240268</v>
      </c>
      <c r="I39" s="104">
        <v>8.872338468100978</v>
      </c>
      <c r="J39" s="104">
        <v>8.646911118167601</v>
      </c>
      <c r="K39" s="104">
        <v>8.423721236733032</v>
      </c>
      <c r="L39" s="105">
        <v>8.20235122591604</v>
      </c>
    </row>
    <row r="40" spans="2:15" ht="15.75" thickBot="1">
      <c r="B40" s="106" t="s">
        <v>104</v>
      </c>
      <c r="C40" s="107">
        <v>140.14375</v>
      </c>
      <c r="D40" s="107">
        <v>-57.903502837070306</v>
      </c>
      <c r="E40" s="107">
        <v>-45.309897807562805</v>
      </c>
      <c r="F40" s="107">
        <v>-35.860163416907795</v>
      </c>
      <c r="G40" s="107">
        <v>-25.384280398132262</v>
      </c>
      <c r="H40" s="107">
        <v>-14.121559892726083</v>
      </c>
      <c r="I40" s="107">
        <v>-1.272381508086852</v>
      </c>
      <c r="J40" s="107">
        <v>13.126441780181352</v>
      </c>
      <c r="K40" s="107">
        <v>28.094592742419877</v>
      </c>
      <c r="L40" s="108">
        <v>44.536175928322024</v>
      </c>
      <c r="N40" s="87"/>
      <c r="O40" s="87"/>
    </row>
    <row r="41" spans="2:12" ht="15.75" thickBot="1">
      <c r="B41" s="109" t="s">
        <v>105</v>
      </c>
      <c r="C41" s="110">
        <v>103.86</v>
      </c>
      <c r="D41" s="110">
        <v>98.455180696875</v>
      </c>
      <c r="E41" s="110">
        <v>93.31278121165491</v>
      </c>
      <c r="F41" s="110">
        <v>88.42386272776002</v>
      </c>
      <c r="G41" s="110">
        <v>83.78002488244115</v>
      </c>
      <c r="H41" s="110">
        <v>79.36650579807112</v>
      </c>
      <c r="I41" s="110">
        <v>75.16971812499833</v>
      </c>
      <c r="J41" s="110">
        <v>71.17548624182328</v>
      </c>
      <c r="K41" s="110">
        <v>67.37044258283507</v>
      </c>
      <c r="L41" s="111">
        <v>63.743528806983576</v>
      </c>
    </row>
    <row r="42" spans="2:15" ht="15">
      <c r="B42" s="112" t="s">
        <v>106</v>
      </c>
      <c r="C42" s="148">
        <v>0.0265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 s="113" customFormat="1" ht="14.25">
      <c r="B43" s="114"/>
      <c r="C43" s="115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2:15" ht="15.75" thickBot="1">
      <c r="B44" s="116" t="s">
        <v>107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3" ht="15">
      <c r="B45" s="117" t="s">
        <v>108</v>
      </c>
      <c r="C45" s="118">
        <v>0</v>
      </c>
      <c r="D45" s="119">
        <v>1</v>
      </c>
      <c r="E45" s="119">
        <v>2</v>
      </c>
      <c r="F45" s="119">
        <v>3</v>
      </c>
      <c r="G45" s="119">
        <v>4</v>
      </c>
      <c r="H45" s="119">
        <v>5</v>
      </c>
      <c r="I45" s="119">
        <v>6</v>
      </c>
      <c r="J45" s="119">
        <v>7</v>
      </c>
      <c r="K45" s="119">
        <v>8</v>
      </c>
      <c r="L45" s="119">
        <v>9</v>
      </c>
      <c r="M45" s="120">
        <v>10</v>
      </c>
    </row>
    <row r="46" spans="2:14" ht="14.25">
      <c r="B46" s="121" t="s">
        <v>109</v>
      </c>
      <c r="C46" s="122">
        <v>1607.7933296487377</v>
      </c>
      <c r="D46" s="122">
        <v>1419.4373528844292</v>
      </c>
      <c r="E46" s="122">
        <v>1238.2078594409447</v>
      </c>
      <c r="F46" s="122">
        <v>1063.7085862106549</v>
      </c>
      <c r="G46" s="122">
        <v>895.550741745097</v>
      </c>
      <c r="H46" s="122">
        <v>733.3520785171887</v>
      </c>
      <c r="I46" s="122">
        <v>576.754452883664</v>
      </c>
      <c r="J46" s="122">
        <v>425.4215649961725</v>
      </c>
      <c r="K46" s="122">
        <v>279.0413544837554</v>
      </c>
      <c r="L46" s="122">
        <v>137.32469178862092</v>
      </c>
      <c r="M46" s="123">
        <v>0</v>
      </c>
      <c r="N46" s="124" t="s">
        <v>110</v>
      </c>
    </row>
    <row r="47" spans="2:14" ht="14.25">
      <c r="B47" s="121" t="s">
        <v>111</v>
      </c>
      <c r="C47" s="122">
        <v>1238.258039557852</v>
      </c>
      <c r="D47" s="122">
        <v>1141.2281276061349</v>
      </c>
      <c r="E47" s="122">
        <v>1036.891381019924</v>
      </c>
      <c r="F47" s="122">
        <v>927.6253571605482</v>
      </c>
      <c r="G47" s="122">
        <v>815.922371234314</v>
      </c>
      <c r="H47" s="122">
        <v>700.186796882074</v>
      </c>
      <c r="I47" s="122">
        <v>579.051255068405</v>
      </c>
      <c r="J47" s="122">
        <v>450.34108966585075</v>
      </c>
      <c r="K47" s="122">
        <v>311.8908848886768</v>
      </c>
      <c r="L47" s="122">
        <v>162.48639250033693</v>
      </c>
      <c r="M47" s="123">
        <v>0</v>
      </c>
      <c r="N47" s="124"/>
    </row>
    <row r="48" spans="2:14" ht="14.25">
      <c r="B48" s="121" t="s">
        <v>112</v>
      </c>
      <c r="C48" s="122">
        <v>237.88966648243687</v>
      </c>
      <c r="D48" s="122">
        <v>70.97186764422145</v>
      </c>
      <c r="E48" s="122">
        <v>61.91039297204723</v>
      </c>
      <c r="F48" s="122">
        <v>53.18542931053275</v>
      </c>
      <c r="G48" s="122">
        <v>44.77753708725485</v>
      </c>
      <c r="H48" s="122">
        <v>36.66760392585944</v>
      </c>
      <c r="I48" s="122">
        <v>28.837722644183206</v>
      </c>
      <c r="J48" s="122">
        <v>21.271078249808625</v>
      </c>
      <c r="K48" s="122">
        <v>13.95206772418777</v>
      </c>
      <c r="L48" s="122">
        <v>6.866234589431047</v>
      </c>
      <c r="M48" s="123">
        <v>0</v>
      </c>
      <c r="N48" s="124" t="s">
        <v>110</v>
      </c>
    </row>
    <row r="49" spans="2:14" ht="14.25">
      <c r="B49" s="121" t="s">
        <v>112</v>
      </c>
      <c r="C49" s="122">
        <v>56.25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3">
        <v>0</v>
      </c>
      <c r="N49" s="124" t="s">
        <v>110</v>
      </c>
    </row>
    <row r="50" spans="2:14" ht="14.25">
      <c r="B50" s="121" t="s">
        <v>113</v>
      </c>
      <c r="C50" s="122">
        <v>82.73722195873546</v>
      </c>
      <c r="D50" s="122">
        <v>74.35680834064192</v>
      </c>
      <c r="E50" s="122">
        <v>66.00849849866526</v>
      </c>
      <c r="F50" s="122">
        <v>57.68949343914065</v>
      </c>
      <c r="G50" s="122">
        <v>49.39651878770043</v>
      </c>
      <c r="H50" s="122">
        <v>41.125761769794515</v>
      </c>
      <c r="I50" s="122">
        <v>32.87378272527544</v>
      </c>
      <c r="J50" s="122">
        <v>24.63748252998958</v>
      </c>
      <c r="K50" s="122">
        <v>16.414321554235265</v>
      </c>
      <c r="L50" s="122">
        <v>8.20235122591604</v>
      </c>
      <c r="M50" s="123">
        <v>0</v>
      </c>
      <c r="N50" s="124" t="s">
        <v>110</v>
      </c>
    </row>
    <row r="51" spans="1:26" s="125" customFormat="1" ht="14.25">
      <c r="A51" s="51"/>
      <c r="B51" s="121" t="s">
        <v>114</v>
      </c>
      <c r="C51" s="122">
        <v>7.3415983502868585</v>
      </c>
      <c r="D51" s="122">
        <v>-132.88054929343093</v>
      </c>
      <c r="E51" s="122">
        <v>-73.39758695030832</v>
      </c>
      <c r="F51" s="122">
        <v>-25.20830630043315</v>
      </c>
      <c r="G51" s="122">
        <v>14.5456853641723</v>
      </c>
      <c r="H51" s="122">
        <v>44.62808406053921</v>
      </c>
      <c r="I51" s="122">
        <v>64.00830755419963</v>
      </c>
      <c r="J51" s="122">
        <v>70.82808544947648</v>
      </c>
      <c r="K51" s="122">
        <v>63.215919683344396</v>
      </c>
      <c r="L51" s="122">
        <v>40.2302865270631</v>
      </c>
      <c r="M51" s="123">
        <v>0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2:13" ht="14.25">
      <c r="B52" s="121" t="s">
        <v>115</v>
      </c>
      <c r="C52" s="152">
        <v>43.48538813027138</v>
      </c>
      <c r="D52" s="152">
        <v>38.40615091572356</v>
      </c>
      <c r="E52" s="152">
        <v>33.51619275654024</v>
      </c>
      <c r="F52" s="152">
        <v>28.804790795577006</v>
      </c>
      <c r="G52" s="152">
        <v>24.261482266011747</v>
      </c>
      <c r="H52" s="152">
        <v>19.876038778715074</v>
      </c>
      <c r="I52" s="152">
        <v>15.638840762144444</v>
      </c>
      <c r="J52" s="152">
        <v>11.540824316597055</v>
      </c>
      <c r="K52" s="152">
        <v>7.573529122418935</v>
      </c>
      <c r="L52" s="152">
        <v>3.729066591693897</v>
      </c>
      <c r="M52" s="153">
        <v>0</v>
      </c>
    </row>
    <row r="53" spans="2:13" ht="14.25">
      <c r="B53" s="121" t="s">
        <v>116</v>
      </c>
      <c r="C53" s="152">
        <f>MAX(0,-C51-C52)</f>
        <v>0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7"/>
    </row>
    <row r="54" spans="1:26" ht="15.75" thickBot="1">
      <c r="A54" s="125"/>
      <c r="B54" s="128" t="s">
        <v>117</v>
      </c>
      <c r="C54" s="156">
        <f aca="true" t="shared" si="11" ref="C54">SUM(C53,C52,C51)</f>
        <v>50.82698648055824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30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</row>
    <row r="55" spans="2:15" ht="14.25">
      <c r="B55" s="87"/>
      <c r="C55" s="87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2:15" ht="14.25">
      <c r="B56" s="87"/>
      <c r="C56" s="87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2:15" ht="15.75" thickBot="1">
      <c r="B57" s="116" t="s">
        <v>118</v>
      </c>
      <c r="C57" s="87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</row>
    <row r="58" spans="2:14" ht="15">
      <c r="B58" s="117" t="s">
        <v>108</v>
      </c>
      <c r="C58" s="118">
        <v>0</v>
      </c>
      <c r="D58" s="119">
        <f>C58+1</f>
        <v>1</v>
      </c>
      <c r="E58" s="119">
        <f aca="true" t="shared" si="12" ref="E58:M58">D58+1</f>
        <v>2</v>
      </c>
      <c r="F58" s="119">
        <f t="shared" si="12"/>
        <v>3</v>
      </c>
      <c r="G58" s="119">
        <f t="shared" si="12"/>
        <v>4</v>
      </c>
      <c r="H58" s="119">
        <f t="shared" si="12"/>
        <v>5</v>
      </c>
      <c r="I58" s="119">
        <f t="shared" si="12"/>
        <v>6</v>
      </c>
      <c r="J58" s="119">
        <f t="shared" si="12"/>
        <v>7</v>
      </c>
      <c r="K58" s="119">
        <f t="shared" si="12"/>
        <v>8</v>
      </c>
      <c r="L58" s="120">
        <f t="shared" si="12"/>
        <v>9</v>
      </c>
      <c r="M58" s="120">
        <f t="shared" si="12"/>
        <v>10</v>
      </c>
      <c r="N58" s="131"/>
    </row>
    <row r="59" spans="2:15" ht="14.25">
      <c r="B59" s="121" t="s">
        <v>119</v>
      </c>
      <c r="C59" s="152">
        <f>MAX(0,-C51)</f>
        <v>0</v>
      </c>
      <c r="D59" s="126"/>
      <c r="E59" s="126"/>
      <c r="F59" s="126"/>
      <c r="G59" s="126"/>
      <c r="H59" s="126"/>
      <c r="I59" s="126"/>
      <c r="J59" s="126"/>
      <c r="K59" s="126"/>
      <c r="L59" s="127"/>
      <c r="M59" s="127"/>
      <c r="N59" s="131"/>
      <c r="O59" s="131"/>
    </row>
    <row r="60" spans="2:15" ht="15">
      <c r="B60" s="133" t="s">
        <v>117</v>
      </c>
      <c r="C60" s="152">
        <f aca="true" t="shared" si="13" ref="C60">C59+C51</f>
        <v>7.3415983502868585</v>
      </c>
      <c r="D60" s="126"/>
      <c r="E60" s="126"/>
      <c r="F60" s="126"/>
      <c r="G60" s="126"/>
      <c r="H60" s="126"/>
      <c r="I60" s="126"/>
      <c r="J60" s="126"/>
      <c r="K60" s="126"/>
      <c r="L60" s="127"/>
      <c r="M60" s="127"/>
      <c r="N60" s="131"/>
      <c r="O60" s="131"/>
    </row>
    <row r="61" spans="2:15" ht="15" thickBot="1">
      <c r="B61" s="134" t="s">
        <v>120</v>
      </c>
      <c r="C61" s="154">
        <v>3215.9367232756504</v>
      </c>
      <c r="D61" s="154">
        <v>2861.092973275651</v>
      </c>
      <c r="E61" s="154">
        <v>2513.318763339127</v>
      </c>
      <c r="F61" s="154">
        <v>2174.615272285573</v>
      </c>
      <c r="G61" s="154">
        <v>1847.0529401616182</v>
      </c>
      <c r="H61" s="154">
        <v>1528.5646310728343</v>
      </c>
      <c r="I61" s="154">
        <v>1217.387090223885</v>
      </c>
      <c r="J61" s="154">
        <v>911.0165469430132</v>
      </c>
      <c r="K61" s="154">
        <v>607.0483948777938</v>
      </c>
      <c r="L61" s="155">
        <v>304.1169736902168</v>
      </c>
      <c r="M61" s="155">
        <v>0</v>
      </c>
      <c r="N61" s="131"/>
      <c r="O61" s="131"/>
    </row>
    <row r="62" spans="2:15" ht="14.25"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87"/>
      <c r="O62" s="87"/>
    </row>
    <row r="63" spans="2:15" ht="14.25"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87"/>
      <c r="O63" s="87"/>
    </row>
    <row r="64" spans="2:15" ht="14.25"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87"/>
      <c r="O64" s="87"/>
    </row>
    <row r="65" spans="2:13" ht="1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2:13" ht="1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2:13" ht="1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2:13" ht="1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2:13" ht="1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</sheetData>
  <mergeCells count="16">
    <mergeCell ref="B11:C11"/>
    <mergeCell ref="B6:C6"/>
    <mergeCell ref="B9:C9"/>
    <mergeCell ref="B10:C10"/>
    <mergeCell ref="B27:C27"/>
    <mergeCell ref="B12:C12"/>
    <mergeCell ref="B13:C13"/>
    <mergeCell ref="B14:C14"/>
    <mergeCell ref="B15:C15"/>
    <mergeCell ref="B16:C16"/>
    <mergeCell ref="B17:C17"/>
    <mergeCell ref="B18:C18"/>
    <mergeCell ref="B23:C23"/>
    <mergeCell ref="B24:C24"/>
    <mergeCell ref="B25:C25"/>
    <mergeCell ref="B26:C26"/>
  </mergeCells>
  <printOptions/>
  <pageMargins left="0.75" right="0.75" top="0.75" bottom="0.75" header="0.5" footer="0.5"/>
  <pageSetup fitToHeight="1" fitToWidth="1" horizontalDpi="600" verticalDpi="600" orientation="landscape" scale="35" r:id="rId1"/>
  <colBreaks count="1" manualBreakCount="1">
    <brk id="26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D124"/>
  <sheetViews>
    <sheetView showGridLines="0" workbookViewId="0" topLeftCell="A1">
      <selection activeCell="C11" sqref="C11"/>
    </sheetView>
  </sheetViews>
  <sheetFormatPr defaultColWidth="9.140625" defaultRowHeight="15"/>
  <cols>
    <col min="1" max="1" width="2.00390625" style="137" customWidth="1"/>
    <col min="2" max="16384" width="9.140625" style="137" customWidth="1"/>
  </cols>
  <sheetData>
    <row r="1" ht="6.75" customHeight="1" thickBot="1"/>
    <row r="2" spans="2:4" ht="13.5" thickBot="1">
      <c r="B2" s="176" t="s">
        <v>123</v>
      </c>
      <c r="C2" s="177"/>
      <c r="D2" s="178"/>
    </row>
    <row r="3" spans="2:4" ht="13.5" thickTop="1">
      <c r="B3" s="138" t="s">
        <v>124</v>
      </c>
      <c r="C3" s="139" t="s">
        <v>125</v>
      </c>
      <c r="D3" s="140" t="s">
        <v>126</v>
      </c>
    </row>
    <row r="4" spans="2:4" ht="15">
      <c r="B4" s="141">
        <v>0</v>
      </c>
      <c r="C4" s="142">
        <v>0.00072</v>
      </c>
      <c r="D4" s="143">
        <v>0.00048</v>
      </c>
    </row>
    <row r="5" spans="2:4" ht="15">
      <c r="B5" s="141">
        <f>B4+1</f>
        <v>1</v>
      </c>
      <c r="C5" s="142">
        <v>0.00046</v>
      </c>
      <c r="D5" s="143">
        <v>0.00035</v>
      </c>
    </row>
    <row r="6" spans="2:4" ht="15">
      <c r="B6" s="141">
        <f aca="true" t="shared" si="0" ref="B6:B69">B5+1</f>
        <v>2</v>
      </c>
      <c r="C6" s="142">
        <v>0.00033</v>
      </c>
      <c r="D6" s="143">
        <v>0.00026</v>
      </c>
    </row>
    <row r="7" spans="2:4" ht="15">
      <c r="B7" s="141">
        <f t="shared" si="0"/>
        <v>3</v>
      </c>
      <c r="C7" s="142">
        <v>0.00024</v>
      </c>
      <c r="D7" s="143">
        <v>0.0002</v>
      </c>
    </row>
    <row r="8" spans="2:4" ht="15">
      <c r="B8" s="141">
        <f t="shared" si="0"/>
        <v>4</v>
      </c>
      <c r="C8" s="142">
        <v>0.00021</v>
      </c>
      <c r="D8" s="143">
        <v>0.00019</v>
      </c>
    </row>
    <row r="9" spans="2:4" ht="15">
      <c r="B9" s="141">
        <f t="shared" si="0"/>
        <v>5</v>
      </c>
      <c r="C9" s="142">
        <v>0.00021</v>
      </c>
      <c r="D9" s="143">
        <v>0.00018</v>
      </c>
    </row>
    <row r="10" spans="2:4" ht="15">
      <c r="B10" s="141">
        <f t="shared" si="0"/>
        <v>6</v>
      </c>
      <c r="C10" s="142">
        <v>0.00022</v>
      </c>
      <c r="D10" s="143">
        <v>0.00018</v>
      </c>
    </row>
    <row r="11" spans="2:4" ht="15">
      <c r="B11" s="141">
        <f t="shared" si="0"/>
        <v>7</v>
      </c>
      <c r="C11" s="142">
        <v>0.00022</v>
      </c>
      <c r="D11" s="143">
        <v>0.00021</v>
      </c>
    </row>
    <row r="12" spans="2:4" ht="15">
      <c r="B12" s="141">
        <f t="shared" si="0"/>
        <v>8</v>
      </c>
      <c r="C12" s="142">
        <v>0.00022</v>
      </c>
      <c r="D12" s="143">
        <v>0.00021</v>
      </c>
    </row>
    <row r="13" spans="2:4" ht="15">
      <c r="B13" s="141">
        <f t="shared" si="0"/>
        <v>9</v>
      </c>
      <c r="C13" s="142">
        <v>0.00023</v>
      </c>
      <c r="D13" s="143">
        <v>0.00021</v>
      </c>
    </row>
    <row r="14" spans="2:4" ht="15">
      <c r="B14" s="141">
        <f t="shared" si="0"/>
        <v>10</v>
      </c>
      <c r="C14" s="142">
        <v>0.00024</v>
      </c>
      <c r="D14" s="143">
        <v>0.00022</v>
      </c>
    </row>
    <row r="15" spans="2:4" ht="15">
      <c r="B15" s="141">
        <f t="shared" si="0"/>
        <v>11</v>
      </c>
      <c r="C15" s="142">
        <v>0.00028</v>
      </c>
      <c r="D15" s="143">
        <v>0.00023</v>
      </c>
    </row>
    <row r="16" spans="2:4" ht="15">
      <c r="B16" s="141">
        <f t="shared" si="0"/>
        <v>12</v>
      </c>
      <c r="C16" s="142">
        <v>0.00034</v>
      </c>
      <c r="D16" s="143">
        <v>0.00027</v>
      </c>
    </row>
    <row r="17" spans="2:4" ht="15">
      <c r="B17" s="141">
        <f t="shared" si="0"/>
        <v>13</v>
      </c>
      <c r="C17" s="142">
        <v>0.0004</v>
      </c>
      <c r="D17" s="143">
        <v>0.0003</v>
      </c>
    </row>
    <row r="18" spans="2:4" ht="15">
      <c r="B18" s="141">
        <f t="shared" si="0"/>
        <v>14</v>
      </c>
      <c r="C18" s="142">
        <v>0.00052</v>
      </c>
      <c r="D18" s="143">
        <v>0.00033</v>
      </c>
    </row>
    <row r="19" spans="2:4" ht="15">
      <c r="B19" s="141">
        <f t="shared" si="0"/>
        <v>15</v>
      </c>
      <c r="C19" s="142">
        <v>0.00066</v>
      </c>
      <c r="D19" s="143">
        <v>0.00035</v>
      </c>
    </row>
    <row r="20" spans="2:4" ht="15">
      <c r="B20" s="141">
        <f t="shared" si="0"/>
        <v>16</v>
      </c>
      <c r="C20" s="142">
        <v>0.00078</v>
      </c>
      <c r="D20" s="143">
        <v>0.00039</v>
      </c>
    </row>
    <row r="21" spans="2:4" ht="15">
      <c r="B21" s="141">
        <f t="shared" si="0"/>
        <v>17</v>
      </c>
      <c r="C21" s="142">
        <v>0.00089</v>
      </c>
      <c r="D21" s="143">
        <v>0.00041</v>
      </c>
    </row>
    <row r="22" spans="2:4" ht="15">
      <c r="B22" s="141">
        <f t="shared" si="0"/>
        <v>18</v>
      </c>
      <c r="C22" s="142">
        <v>0.00095</v>
      </c>
      <c r="D22" s="143">
        <v>0.00043</v>
      </c>
    </row>
    <row r="23" spans="2:4" ht="15">
      <c r="B23" s="141">
        <f t="shared" si="0"/>
        <v>19</v>
      </c>
      <c r="C23" s="142">
        <v>0.00098</v>
      </c>
      <c r="D23" s="143">
        <v>0.00046</v>
      </c>
    </row>
    <row r="24" spans="2:4" ht="15">
      <c r="B24" s="141">
        <f t="shared" si="0"/>
        <v>20</v>
      </c>
      <c r="C24" s="142">
        <v>0.001</v>
      </c>
      <c r="D24" s="143">
        <v>0.00047</v>
      </c>
    </row>
    <row r="25" spans="2:4" ht="15">
      <c r="B25" s="141">
        <f t="shared" si="0"/>
        <v>21</v>
      </c>
      <c r="C25" s="142">
        <v>0.00101</v>
      </c>
      <c r="D25" s="143">
        <v>0.00048</v>
      </c>
    </row>
    <row r="26" spans="2:4" ht="15">
      <c r="B26" s="141">
        <f t="shared" si="0"/>
        <v>22</v>
      </c>
      <c r="C26" s="142">
        <v>0.00102</v>
      </c>
      <c r="D26" s="143">
        <v>0.0005</v>
      </c>
    </row>
    <row r="27" spans="2:4" ht="15">
      <c r="B27" s="141">
        <f t="shared" si="0"/>
        <v>23</v>
      </c>
      <c r="C27" s="142">
        <v>0.00104</v>
      </c>
      <c r="D27" s="143">
        <v>0.0005</v>
      </c>
    </row>
    <row r="28" spans="2:4" ht="15">
      <c r="B28" s="141">
        <f t="shared" si="0"/>
        <v>24</v>
      </c>
      <c r="C28" s="142">
        <v>0.00106</v>
      </c>
      <c r="D28" s="143">
        <v>0.00052</v>
      </c>
    </row>
    <row r="29" spans="2:4" ht="15">
      <c r="B29" s="141">
        <f t="shared" si="0"/>
        <v>25</v>
      </c>
      <c r="C29" s="142">
        <v>0.00109</v>
      </c>
      <c r="D29" s="143">
        <v>0.00054</v>
      </c>
    </row>
    <row r="30" spans="2:4" ht="15">
      <c r="B30" s="141">
        <f t="shared" si="0"/>
        <v>26</v>
      </c>
      <c r="C30" s="142">
        <v>0.00114</v>
      </c>
      <c r="D30" s="143">
        <v>0.00056</v>
      </c>
    </row>
    <row r="31" spans="2:4" ht="15">
      <c r="B31" s="141">
        <f t="shared" si="0"/>
        <v>27</v>
      </c>
      <c r="C31" s="142">
        <v>0.00117</v>
      </c>
      <c r="D31" s="143">
        <v>0.0006</v>
      </c>
    </row>
    <row r="32" spans="2:4" ht="15">
      <c r="B32" s="141">
        <f t="shared" si="0"/>
        <v>28</v>
      </c>
      <c r="C32" s="142">
        <v>0.00116</v>
      </c>
      <c r="D32" s="143">
        <v>0.00063</v>
      </c>
    </row>
    <row r="33" spans="2:4" ht="15">
      <c r="B33" s="141">
        <f t="shared" si="0"/>
        <v>29</v>
      </c>
      <c r="C33" s="142">
        <v>0.00115</v>
      </c>
      <c r="D33" s="143">
        <v>0.00066</v>
      </c>
    </row>
    <row r="34" spans="2:4" ht="15">
      <c r="B34" s="141">
        <f t="shared" si="0"/>
        <v>30</v>
      </c>
      <c r="C34" s="142">
        <v>0.00114</v>
      </c>
      <c r="D34" s="143">
        <v>0.00068</v>
      </c>
    </row>
    <row r="35" spans="2:4" ht="15">
      <c r="B35" s="141">
        <f t="shared" si="0"/>
        <v>31</v>
      </c>
      <c r="C35" s="142">
        <v>0.00113</v>
      </c>
      <c r="D35" s="143">
        <v>0.00073</v>
      </c>
    </row>
    <row r="36" spans="2:4" ht="15">
      <c r="B36" s="141">
        <f t="shared" si="0"/>
        <v>32</v>
      </c>
      <c r="C36" s="142">
        <v>0.00114</v>
      </c>
      <c r="D36" s="143">
        <v>0.00077</v>
      </c>
    </row>
    <row r="37" spans="2:4" ht="15">
      <c r="B37" s="141">
        <f t="shared" si="0"/>
        <v>33</v>
      </c>
      <c r="C37" s="142">
        <v>0.00116</v>
      </c>
      <c r="D37" s="143">
        <v>0.00082</v>
      </c>
    </row>
    <row r="38" spans="2:4" ht="15">
      <c r="B38" s="141">
        <f t="shared" si="0"/>
        <v>34</v>
      </c>
      <c r="C38" s="142">
        <v>0.00119</v>
      </c>
      <c r="D38" s="143">
        <v>0.00088</v>
      </c>
    </row>
    <row r="39" spans="2:4" ht="15">
      <c r="B39" s="141">
        <f t="shared" si="0"/>
        <v>35</v>
      </c>
      <c r="C39" s="142">
        <v>0.00124</v>
      </c>
      <c r="D39" s="143">
        <v>0.00097</v>
      </c>
    </row>
    <row r="40" spans="2:4" ht="15">
      <c r="B40" s="141">
        <f t="shared" si="0"/>
        <v>36</v>
      </c>
      <c r="C40" s="142">
        <v>0.00131</v>
      </c>
      <c r="D40" s="143">
        <v>0.00103</v>
      </c>
    </row>
    <row r="41" spans="2:4" ht="15">
      <c r="B41" s="141">
        <f t="shared" si="0"/>
        <v>37</v>
      </c>
      <c r="C41" s="142">
        <v>0.00139</v>
      </c>
      <c r="D41" s="143">
        <v>0.00111</v>
      </c>
    </row>
    <row r="42" spans="2:4" ht="15">
      <c r="B42" s="141">
        <f t="shared" si="0"/>
        <v>38</v>
      </c>
      <c r="C42" s="142">
        <v>0.00149</v>
      </c>
      <c r="D42" s="143">
        <v>0.00117</v>
      </c>
    </row>
    <row r="43" spans="2:4" ht="15">
      <c r="B43" s="141">
        <f t="shared" si="0"/>
        <v>39</v>
      </c>
      <c r="C43" s="142">
        <v>0.00159</v>
      </c>
      <c r="D43" s="143">
        <v>0.00123</v>
      </c>
    </row>
    <row r="44" spans="2:4" ht="15">
      <c r="B44" s="141">
        <f t="shared" si="0"/>
        <v>40</v>
      </c>
      <c r="C44" s="142">
        <v>0.00172</v>
      </c>
      <c r="D44" s="143">
        <v>0.0013</v>
      </c>
    </row>
    <row r="45" spans="2:4" ht="15">
      <c r="B45" s="141">
        <f t="shared" si="0"/>
        <v>41</v>
      </c>
      <c r="C45" s="142">
        <v>0.00187</v>
      </c>
      <c r="D45" s="143">
        <v>0.00138</v>
      </c>
    </row>
    <row r="46" spans="2:4" ht="15">
      <c r="B46" s="141">
        <f t="shared" si="0"/>
        <v>42</v>
      </c>
      <c r="C46" s="142">
        <v>0.00205</v>
      </c>
      <c r="D46" s="143">
        <v>0.00148</v>
      </c>
    </row>
    <row r="47" spans="2:4" ht="15">
      <c r="B47" s="141">
        <f t="shared" si="0"/>
        <v>43</v>
      </c>
      <c r="C47" s="142">
        <v>0.00227</v>
      </c>
      <c r="D47" s="143">
        <v>0.00159</v>
      </c>
    </row>
    <row r="48" spans="2:4" ht="15">
      <c r="B48" s="141">
        <f t="shared" si="0"/>
        <v>44</v>
      </c>
      <c r="C48" s="142">
        <v>0.00252</v>
      </c>
      <c r="D48" s="143">
        <v>0.00172</v>
      </c>
    </row>
    <row r="49" spans="2:4" ht="15">
      <c r="B49" s="141">
        <f t="shared" si="0"/>
        <v>45</v>
      </c>
      <c r="C49" s="142">
        <v>0.00277</v>
      </c>
      <c r="D49" s="143">
        <v>0.00187</v>
      </c>
    </row>
    <row r="50" spans="2:4" ht="15">
      <c r="B50" s="141">
        <f t="shared" si="0"/>
        <v>46</v>
      </c>
      <c r="C50" s="142">
        <v>0.00303</v>
      </c>
      <c r="D50" s="143">
        <v>0.00205</v>
      </c>
    </row>
    <row r="51" spans="2:4" ht="15">
      <c r="B51" s="141">
        <f t="shared" si="0"/>
        <v>47</v>
      </c>
      <c r="C51" s="142">
        <v>0.00325</v>
      </c>
      <c r="D51" s="143">
        <v>0.00227</v>
      </c>
    </row>
    <row r="52" spans="2:4" ht="15">
      <c r="B52" s="141">
        <f t="shared" si="0"/>
        <v>48</v>
      </c>
      <c r="C52" s="142">
        <v>0.00342</v>
      </c>
      <c r="D52" s="143">
        <v>0.0025</v>
      </c>
    </row>
    <row r="53" spans="2:4" ht="15">
      <c r="B53" s="141">
        <f t="shared" si="0"/>
        <v>49</v>
      </c>
      <c r="C53" s="142">
        <v>0.00364</v>
      </c>
      <c r="D53" s="143">
        <v>0.00278</v>
      </c>
    </row>
    <row r="54" spans="2:4" ht="15">
      <c r="B54" s="141">
        <f t="shared" si="0"/>
        <v>50</v>
      </c>
      <c r="C54" s="142">
        <v>0.00391</v>
      </c>
      <c r="D54" s="143">
        <v>0.00308</v>
      </c>
    </row>
    <row r="55" spans="2:4" ht="15">
      <c r="B55" s="141">
        <f t="shared" si="0"/>
        <v>51</v>
      </c>
      <c r="C55" s="142">
        <v>0.00426</v>
      </c>
      <c r="D55" s="143">
        <v>0.00341</v>
      </c>
    </row>
    <row r="56" spans="2:4" ht="15">
      <c r="B56" s="141">
        <f t="shared" si="0"/>
        <v>52</v>
      </c>
      <c r="C56" s="142">
        <v>0.0047</v>
      </c>
      <c r="D56" s="143">
        <v>0.00379</v>
      </c>
    </row>
    <row r="57" spans="2:4" ht="15">
      <c r="B57" s="141">
        <f t="shared" si="0"/>
        <v>53</v>
      </c>
      <c r="C57" s="142">
        <v>0.00521</v>
      </c>
      <c r="D57" s="143">
        <v>0.004200000000000001</v>
      </c>
    </row>
    <row r="58" spans="2:4" ht="15">
      <c r="B58" s="141">
        <f t="shared" si="0"/>
        <v>54</v>
      </c>
      <c r="C58" s="142">
        <v>0.00583</v>
      </c>
      <c r="D58" s="143">
        <v>0.00463</v>
      </c>
    </row>
    <row r="59" spans="2:4" ht="15">
      <c r="B59" s="141">
        <f t="shared" si="0"/>
        <v>55</v>
      </c>
      <c r="C59" s="142">
        <v>0.00652</v>
      </c>
      <c r="D59" s="143">
        <v>0.0051</v>
      </c>
    </row>
    <row r="60" spans="2:4" ht="15">
      <c r="B60" s="141">
        <f t="shared" si="0"/>
        <v>56</v>
      </c>
      <c r="C60" s="142">
        <v>0.00726</v>
      </c>
      <c r="D60" s="143">
        <v>0.00563</v>
      </c>
    </row>
    <row r="61" spans="2:4" ht="15">
      <c r="B61" s="141">
        <f t="shared" si="0"/>
        <v>57</v>
      </c>
      <c r="C61" s="142">
        <v>0.00795</v>
      </c>
      <c r="D61" s="143">
        <v>0.00619</v>
      </c>
    </row>
    <row r="62" spans="2:4" ht="15">
      <c r="B62" s="141">
        <f t="shared" si="0"/>
        <v>58</v>
      </c>
      <c r="C62" s="142">
        <v>0.00863</v>
      </c>
      <c r="D62" s="143">
        <v>0.0068</v>
      </c>
    </row>
    <row r="63" spans="2:4" ht="15">
      <c r="B63" s="141">
        <f t="shared" si="0"/>
        <v>59</v>
      </c>
      <c r="C63" s="142">
        <v>0.00942</v>
      </c>
      <c r="D63" s="143">
        <v>0.00739</v>
      </c>
    </row>
    <row r="64" spans="2:4" ht="15">
      <c r="B64" s="141">
        <f t="shared" si="0"/>
        <v>60</v>
      </c>
      <c r="C64" s="142">
        <v>0.0104</v>
      </c>
      <c r="D64" s="143">
        <v>0.00801</v>
      </c>
    </row>
    <row r="65" spans="2:4" ht="15">
      <c r="B65" s="141">
        <f t="shared" si="0"/>
        <v>61</v>
      </c>
      <c r="C65" s="142">
        <v>0.01159</v>
      </c>
      <c r="D65" s="143">
        <v>0.00868</v>
      </c>
    </row>
    <row r="66" spans="2:4" ht="15">
      <c r="B66" s="141">
        <f t="shared" si="0"/>
        <v>62</v>
      </c>
      <c r="C66" s="142">
        <v>0.01298</v>
      </c>
      <c r="D66" s="143">
        <v>0.00939</v>
      </c>
    </row>
    <row r="67" spans="2:4" ht="15">
      <c r="B67" s="141">
        <f t="shared" si="0"/>
        <v>63</v>
      </c>
      <c r="C67" s="142">
        <v>0.01447</v>
      </c>
      <c r="D67" s="143">
        <v>0.01014</v>
      </c>
    </row>
    <row r="68" spans="2:4" ht="15">
      <c r="B68" s="141">
        <f t="shared" si="0"/>
        <v>64</v>
      </c>
      <c r="C68" s="142">
        <v>0.01604</v>
      </c>
      <c r="D68" s="143">
        <v>0.01096</v>
      </c>
    </row>
    <row r="69" spans="2:4" ht="15">
      <c r="B69" s="141">
        <f t="shared" si="0"/>
        <v>65</v>
      </c>
      <c r="C69" s="142">
        <v>0.01765</v>
      </c>
      <c r="D69" s="143">
        <v>0.01185</v>
      </c>
    </row>
    <row r="70" spans="2:4" ht="15">
      <c r="B70" s="141">
        <f aca="true" t="shared" si="1" ref="B70:B124">B69+1</f>
        <v>66</v>
      </c>
      <c r="C70" s="142">
        <v>0.01927</v>
      </c>
      <c r="D70" s="143">
        <v>0.01282</v>
      </c>
    </row>
    <row r="71" spans="2:4" ht="15">
      <c r="B71" s="141">
        <f t="shared" si="1"/>
        <v>67</v>
      </c>
      <c r="C71" s="142">
        <v>0.02096</v>
      </c>
      <c r="D71" s="143">
        <v>0.01389</v>
      </c>
    </row>
    <row r="72" spans="2:4" ht="15">
      <c r="B72" s="141">
        <f t="shared" si="1"/>
        <v>68</v>
      </c>
      <c r="C72" s="142">
        <v>0.02274</v>
      </c>
      <c r="D72" s="143">
        <v>0.01507</v>
      </c>
    </row>
    <row r="73" spans="2:4" ht="15">
      <c r="B73" s="141">
        <f t="shared" si="1"/>
        <v>69</v>
      </c>
      <c r="C73" s="142">
        <v>0.02469</v>
      </c>
      <c r="D73" s="143">
        <v>0.01636</v>
      </c>
    </row>
    <row r="74" spans="2:4" ht="15">
      <c r="B74" s="141">
        <f t="shared" si="1"/>
        <v>70</v>
      </c>
      <c r="C74" s="142">
        <v>0.02694</v>
      </c>
      <c r="D74" s="143">
        <v>0.01781</v>
      </c>
    </row>
    <row r="75" spans="2:4" ht="15">
      <c r="B75" s="141">
        <f t="shared" si="1"/>
        <v>71</v>
      </c>
      <c r="C75" s="142">
        <v>0.02971</v>
      </c>
      <c r="D75" s="143">
        <v>0.01947</v>
      </c>
    </row>
    <row r="76" spans="2:4" ht="15">
      <c r="B76" s="141">
        <f t="shared" si="1"/>
        <v>72</v>
      </c>
      <c r="C76" s="142">
        <v>0.03294</v>
      </c>
      <c r="D76" s="143">
        <v>0.0213</v>
      </c>
    </row>
    <row r="77" spans="2:4" ht="15">
      <c r="B77" s="141">
        <f t="shared" si="1"/>
        <v>73</v>
      </c>
      <c r="C77" s="142">
        <v>0.03632</v>
      </c>
      <c r="D77" s="143">
        <v>0.0233</v>
      </c>
    </row>
    <row r="78" spans="2:4" ht="15">
      <c r="B78" s="141">
        <f t="shared" si="1"/>
        <v>74</v>
      </c>
      <c r="C78" s="142">
        <v>0.03996</v>
      </c>
      <c r="D78" s="143">
        <v>0.0255</v>
      </c>
    </row>
    <row r="79" spans="2:4" ht="15">
      <c r="B79" s="141">
        <f t="shared" si="1"/>
        <v>75</v>
      </c>
      <c r="C79" s="142">
        <v>0.04395</v>
      </c>
      <c r="D79" s="143">
        <v>0.0279</v>
      </c>
    </row>
    <row r="80" spans="2:4" ht="15">
      <c r="B80" s="141">
        <f t="shared" si="1"/>
        <v>76</v>
      </c>
      <c r="C80" s="142">
        <v>0.04844</v>
      </c>
      <c r="D80" s="143">
        <v>0.03053</v>
      </c>
    </row>
    <row r="81" spans="2:4" ht="15">
      <c r="B81" s="141">
        <f t="shared" si="1"/>
        <v>77</v>
      </c>
      <c r="C81" s="142">
        <v>0.05367</v>
      </c>
      <c r="D81" s="143">
        <v>0.03341</v>
      </c>
    </row>
    <row r="82" spans="2:4" ht="15">
      <c r="B82" s="141">
        <f t="shared" si="1"/>
        <v>78</v>
      </c>
      <c r="C82" s="142">
        <v>0.05972</v>
      </c>
      <c r="D82" s="143">
        <v>0.03658</v>
      </c>
    </row>
    <row r="83" spans="2:4" ht="15">
      <c r="B83" s="141">
        <f t="shared" si="1"/>
        <v>79</v>
      </c>
      <c r="C83" s="142">
        <v>0.06648</v>
      </c>
      <c r="D83" s="143">
        <v>0.04005</v>
      </c>
    </row>
    <row r="84" spans="2:4" ht="15">
      <c r="B84" s="141">
        <f t="shared" si="1"/>
        <v>80</v>
      </c>
      <c r="C84" s="142">
        <v>0.07402</v>
      </c>
      <c r="D84" s="143">
        <v>0.04386</v>
      </c>
    </row>
    <row r="85" spans="2:4" ht="15">
      <c r="B85" s="141">
        <f t="shared" si="1"/>
        <v>81</v>
      </c>
      <c r="C85" s="142">
        <v>0.0822</v>
      </c>
      <c r="D85" s="143">
        <v>0.04911</v>
      </c>
    </row>
    <row r="86" spans="2:4" ht="15">
      <c r="B86" s="141">
        <f t="shared" si="1"/>
        <v>82</v>
      </c>
      <c r="C86" s="142">
        <v>0.09082</v>
      </c>
      <c r="D86" s="143">
        <v>0.05495</v>
      </c>
    </row>
    <row r="87" spans="2:4" ht="15">
      <c r="B87" s="141">
        <f t="shared" si="1"/>
        <v>83</v>
      </c>
      <c r="C87" s="142">
        <v>0.10022</v>
      </c>
      <c r="D87" s="143">
        <v>0.06081</v>
      </c>
    </row>
    <row r="88" spans="2:4" ht="15">
      <c r="B88" s="141">
        <f t="shared" si="1"/>
        <v>84</v>
      </c>
      <c r="C88" s="142">
        <v>0.11069</v>
      </c>
      <c r="D88" s="143">
        <v>0.06727</v>
      </c>
    </row>
    <row r="89" spans="2:4" ht="15">
      <c r="B89" s="141">
        <f t="shared" si="1"/>
        <v>85</v>
      </c>
      <c r="C89" s="142">
        <v>0.12236</v>
      </c>
      <c r="D89" s="143">
        <v>0.07445</v>
      </c>
    </row>
    <row r="90" spans="2:4" ht="15">
      <c r="B90" s="141">
        <f t="shared" si="1"/>
        <v>86</v>
      </c>
      <c r="C90" s="142">
        <v>0.13517</v>
      </c>
      <c r="D90" s="143">
        <v>0.08099</v>
      </c>
    </row>
    <row r="91" spans="2:4" ht="15">
      <c r="B91" s="141">
        <f t="shared" si="1"/>
        <v>87</v>
      </c>
      <c r="C91" s="142">
        <v>0.14899</v>
      </c>
      <c r="D91" s="143">
        <v>0.09079</v>
      </c>
    </row>
    <row r="92" spans="2:4" ht="15">
      <c r="B92" s="141">
        <f t="shared" si="1"/>
        <v>88</v>
      </c>
      <c r="C92" s="142">
        <v>0.16366</v>
      </c>
      <c r="D92" s="143">
        <v>0.10107</v>
      </c>
    </row>
    <row r="93" spans="2:4" ht="15">
      <c r="B93" s="141">
        <f t="shared" si="1"/>
        <v>89</v>
      </c>
      <c r="C93" s="142">
        <v>0.17903</v>
      </c>
      <c r="D93" s="143">
        <v>0.11202</v>
      </c>
    </row>
    <row r="94" spans="2:4" ht="15">
      <c r="B94" s="141">
        <f t="shared" si="1"/>
        <v>90</v>
      </c>
      <c r="C94" s="142">
        <v>0.19428</v>
      </c>
      <c r="D94" s="143">
        <v>0.12192</v>
      </c>
    </row>
    <row r="95" spans="2:4" ht="15">
      <c r="B95" s="141">
        <f t="shared" si="1"/>
        <v>91</v>
      </c>
      <c r="C95" s="142">
        <v>0.20927</v>
      </c>
      <c r="D95" s="143">
        <v>0.12685</v>
      </c>
    </row>
    <row r="96" spans="2:4" ht="15">
      <c r="B96" s="141">
        <f t="shared" si="1"/>
        <v>92</v>
      </c>
      <c r="C96" s="142">
        <v>0.22494</v>
      </c>
      <c r="D96" s="143">
        <v>0.13688</v>
      </c>
    </row>
    <row r="97" spans="2:4" ht="15">
      <c r="B97" s="141">
        <f t="shared" si="1"/>
        <v>93</v>
      </c>
      <c r="C97" s="142">
        <v>0.24146</v>
      </c>
      <c r="D97" s="143">
        <v>0.15164</v>
      </c>
    </row>
    <row r="98" spans="2:4" ht="15">
      <c r="B98" s="141">
        <f t="shared" si="1"/>
        <v>94</v>
      </c>
      <c r="C98" s="142">
        <v>0.25886</v>
      </c>
      <c r="D98" s="143">
        <v>0.17031</v>
      </c>
    </row>
    <row r="99" spans="2:4" ht="15">
      <c r="B99" s="141">
        <f t="shared" si="1"/>
        <v>95</v>
      </c>
      <c r="C99" s="142">
        <v>0.27612</v>
      </c>
      <c r="D99" s="143">
        <v>0.19366</v>
      </c>
    </row>
    <row r="100" spans="2:4" ht="15">
      <c r="B100" s="141">
        <f t="shared" si="1"/>
        <v>96</v>
      </c>
      <c r="C100" s="142">
        <v>0.29295</v>
      </c>
      <c r="D100" s="143">
        <v>0.21566</v>
      </c>
    </row>
    <row r="101" spans="2:4" ht="15">
      <c r="B101" s="141">
        <f t="shared" si="1"/>
        <v>97</v>
      </c>
      <c r="C101" s="142">
        <v>0.31086</v>
      </c>
      <c r="D101" s="143">
        <v>0.23848</v>
      </c>
    </row>
    <row r="102" spans="2:4" ht="15">
      <c r="B102" s="141">
        <f t="shared" si="1"/>
        <v>98</v>
      </c>
      <c r="C102" s="142">
        <v>0.32995</v>
      </c>
      <c r="D102" s="143">
        <v>0.24216</v>
      </c>
    </row>
    <row r="103" spans="2:4" ht="15">
      <c r="B103" s="141">
        <f t="shared" si="1"/>
        <v>99</v>
      </c>
      <c r="C103" s="142">
        <v>0.35032</v>
      </c>
      <c r="D103" s="143">
        <v>0.25523</v>
      </c>
    </row>
    <row r="104" spans="2:4" ht="15">
      <c r="B104" s="141">
        <f t="shared" si="1"/>
        <v>100</v>
      </c>
      <c r="C104" s="142">
        <v>0.36976</v>
      </c>
      <c r="D104" s="143">
        <v>0.27573</v>
      </c>
    </row>
    <row r="105" spans="2:4" ht="15">
      <c r="B105" s="141">
        <f t="shared" si="1"/>
        <v>101</v>
      </c>
      <c r="C105" s="142">
        <v>0.38696</v>
      </c>
      <c r="D105" s="143">
        <v>0.29784</v>
      </c>
    </row>
    <row r="106" spans="2:4" ht="15">
      <c r="B106" s="141">
        <f t="shared" si="1"/>
        <v>102</v>
      </c>
      <c r="C106" s="142">
        <v>0.40525</v>
      </c>
      <c r="D106" s="143">
        <v>0.32221</v>
      </c>
    </row>
    <row r="107" spans="2:4" ht="15">
      <c r="B107" s="141">
        <f t="shared" si="1"/>
        <v>103</v>
      </c>
      <c r="C107" s="142">
        <v>0.4247</v>
      </c>
      <c r="D107" s="143">
        <v>0.34906</v>
      </c>
    </row>
    <row r="108" spans="2:4" ht="15">
      <c r="B108" s="141">
        <f t="shared" si="1"/>
        <v>104</v>
      </c>
      <c r="C108" s="142">
        <v>0.44535</v>
      </c>
      <c r="D108" s="143">
        <v>0.37861</v>
      </c>
    </row>
    <row r="109" spans="2:4" ht="15">
      <c r="B109" s="141">
        <f t="shared" si="1"/>
        <v>105</v>
      </c>
      <c r="C109" s="142">
        <v>0.46729</v>
      </c>
      <c r="D109" s="143">
        <v>0.41057</v>
      </c>
    </row>
    <row r="110" spans="2:4" ht="15">
      <c r="B110" s="141">
        <f t="shared" si="1"/>
        <v>106</v>
      </c>
      <c r="C110" s="142">
        <v>0.49057</v>
      </c>
      <c r="D110" s="143">
        <v>0.44333</v>
      </c>
    </row>
    <row r="111" spans="2:4" ht="15">
      <c r="B111" s="141">
        <f t="shared" si="1"/>
        <v>107</v>
      </c>
      <c r="C111" s="142">
        <v>0.51528</v>
      </c>
      <c r="D111" s="143">
        <v>0.47689</v>
      </c>
    </row>
    <row r="112" spans="2:4" ht="15">
      <c r="B112" s="141">
        <f t="shared" si="1"/>
        <v>108</v>
      </c>
      <c r="C112" s="142">
        <v>0.54149</v>
      </c>
      <c r="D112" s="143">
        <v>0.51065</v>
      </c>
    </row>
    <row r="113" spans="2:4" ht="15">
      <c r="B113" s="141">
        <f t="shared" si="1"/>
        <v>109</v>
      </c>
      <c r="C113" s="142">
        <v>0.56927</v>
      </c>
      <c r="D113" s="143">
        <v>0.54581</v>
      </c>
    </row>
    <row r="114" spans="2:4" ht="15">
      <c r="B114" s="141">
        <f t="shared" si="1"/>
        <v>110</v>
      </c>
      <c r="C114" s="142">
        <v>0.5987</v>
      </c>
      <c r="D114" s="143">
        <v>0.58177</v>
      </c>
    </row>
    <row r="115" spans="2:4" ht="15">
      <c r="B115" s="141">
        <f t="shared" si="1"/>
        <v>111</v>
      </c>
      <c r="C115" s="142">
        <v>0.62988</v>
      </c>
      <c r="D115" s="143">
        <v>0.61633</v>
      </c>
    </row>
    <row r="116" spans="2:4" ht="15">
      <c r="B116" s="141">
        <f t="shared" si="1"/>
        <v>112</v>
      </c>
      <c r="C116" s="142">
        <v>0.66287</v>
      </c>
      <c r="D116" s="143">
        <v>0.64985</v>
      </c>
    </row>
    <row r="117" spans="2:4" ht="15">
      <c r="B117" s="141">
        <f t="shared" si="1"/>
        <v>113</v>
      </c>
      <c r="C117" s="142">
        <v>0.69778</v>
      </c>
      <c r="D117" s="143">
        <v>0.68037</v>
      </c>
    </row>
    <row r="118" spans="2:4" ht="15">
      <c r="B118" s="141">
        <f t="shared" si="1"/>
        <v>114</v>
      </c>
      <c r="C118" s="142">
        <v>0.73468</v>
      </c>
      <c r="D118" s="143">
        <v>0.72339</v>
      </c>
    </row>
    <row r="119" spans="2:4" ht="15">
      <c r="B119" s="141">
        <f t="shared" si="1"/>
        <v>115</v>
      </c>
      <c r="C119" s="142">
        <v>0.77366</v>
      </c>
      <c r="D119" s="143">
        <v>0.76341</v>
      </c>
    </row>
    <row r="120" spans="2:4" ht="15">
      <c r="B120" s="141">
        <f t="shared" si="1"/>
        <v>116</v>
      </c>
      <c r="C120" s="142">
        <v>0.81478</v>
      </c>
      <c r="D120" s="143">
        <v>0.80493</v>
      </c>
    </row>
    <row r="121" spans="2:4" ht="15">
      <c r="B121" s="141">
        <f t="shared" si="1"/>
        <v>117</v>
      </c>
      <c r="C121" s="142">
        <v>0.85815</v>
      </c>
      <c r="D121" s="143">
        <v>0.85044</v>
      </c>
    </row>
    <row r="122" spans="2:4" ht="15">
      <c r="B122" s="141">
        <f t="shared" si="1"/>
        <v>118</v>
      </c>
      <c r="C122" s="142">
        <v>0.90381</v>
      </c>
      <c r="D122" s="143">
        <v>0.89244</v>
      </c>
    </row>
    <row r="123" spans="2:4" ht="15">
      <c r="B123" s="141">
        <f t="shared" si="1"/>
        <v>119</v>
      </c>
      <c r="C123" s="142">
        <v>0.95167</v>
      </c>
      <c r="D123" s="143">
        <v>0.93511</v>
      </c>
    </row>
    <row r="124" spans="2:4" ht="13.5" thickBot="1">
      <c r="B124" s="144">
        <f t="shared" si="1"/>
        <v>120</v>
      </c>
      <c r="C124" s="145">
        <v>1</v>
      </c>
      <c r="D124" s="146">
        <v>1</v>
      </c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Kong, Yibing</dc:creator>
  <cp:keywords/>
  <dc:description/>
  <cp:lastModifiedBy>SOA User</cp:lastModifiedBy>
  <dcterms:created xsi:type="dcterms:W3CDTF">2011-07-28T20:03:49Z</dcterms:created>
  <dcterms:modified xsi:type="dcterms:W3CDTF">2011-09-23T20:21:14Z</dcterms:modified>
  <cp:category/>
  <cp:version/>
  <cp:contentType/>
  <cp:contentStatus/>
</cp:coreProperties>
</file>