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Base" sheetId="1" r:id="rId1"/>
    <sheet name="market up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<sst xmlns="http://schemas.openxmlformats.org/spreadsheetml/2006/main" count="86" uniqueCount="42">
  <si>
    <t>RFR</t>
  </si>
  <si>
    <t>FAS133 Numeric Example  ( per Martin Hall presentation)</t>
  </si>
  <si>
    <t>Premium:</t>
  </si>
  <si>
    <t>GMSV rate:</t>
  </si>
  <si>
    <t>Risk-Free Rate:</t>
  </si>
  <si>
    <t>Option Budget:</t>
  </si>
  <si>
    <t>AV</t>
  </si>
  <si>
    <t>GMSV</t>
  </si>
  <si>
    <t>Guar AV</t>
  </si>
  <si>
    <t>Lapse</t>
  </si>
  <si>
    <t>Persist</t>
  </si>
  <si>
    <t>AV paid</t>
  </si>
  <si>
    <t>on lapse</t>
  </si>
  <si>
    <t>GV paid</t>
  </si>
  <si>
    <t>Excess</t>
  </si>
  <si>
    <t>PV</t>
  </si>
  <si>
    <t>Initial ED:</t>
  </si>
  <si>
    <t>Initial Host:</t>
  </si>
  <si>
    <t>Host rate:</t>
  </si>
  <si>
    <t>Discount</t>
  </si>
  <si>
    <t>Host</t>
  </si>
  <si>
    <t>ED</t>
  </si>
  <si>
    <t>Liab</t>
  </si>
  <si>
    <t>Additional growth in S&amp;P, calibrated such that starting ED matches PV of current and future option costs</t>
  </si>
  <si>
    <t>Benefits</t>
  </si>
  <si>
    <t>(Excess)</t>
  </si>
  <si>
    <t>Year 1</t>
  </si>
  <si>
    <t>Growth = assumed</t>
  </si>
  <si>
    <t>A0</t>
  </si>
  <si>
    <t>L0</t>
  </si>
  <si>
    <t>A1</t>
  </si>
  <si>
    <t>L1</t>
  </si>
  <si>
    <t>Income1</t>
  </si>
  <si>
    <t>Core</t>
  </si>
  <si>
    <t>=option assets</t>
  </si>
  <si>
    <t>=fixed assets</t>
  </si>
  <si>
    <t>Options</t>
  </si>
  <si>
    <t>Fixed Assets</t>
  </si>
  <si>
    <t>Non Core</t>
  </si>
  <si>
    <t>Year</t>
  </si>
  <si>
    <t>FAS133 Numeric Example</t>
  </si>
  <si>
    <t>RFR plus credit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</si>
</sst>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_(* #,##0_);_(* \(#,##0\);_(* &quot;-&quot;??_);_(@_)"/>
    <numFmt numFmtId="167" formatCode="_(* #,##0.0_);_(* \(#,##0.0\);_(* &quot;-&quot;?_);_(@_)"/>
    <numFmt numFmtId="168" formatCode="0.0"/>
    <numFmt numFmtId="169" formatCode="0.000"/>
    <numFmt numFmtId="170" formatCode="_(* #,##0.000_);_(* \(#,##0.000\);_(* &quot;-&quot;??_);_(@_)"/>
    <numFmt numFmtId="171" formatCode="_(* #,##0.000_);_(* \(#,##0.000\);_(* &quot;-&quot;???_);_(@_)"/>
    <numFmt numFmtId="172" formatCode="0.00000"/>
    <numFmt numFmtId="173" formatCode="0.0000"/>
  </numFmts>
  <fonts count="3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9" fontId="0" fillId="0" borderId="0" xfId="59" applyFont="1" applyAlignment="1">
      <alignment/>
    </xf>
    <xf numFmtId="164" fontId="0" fillId="0" borderId="0" xfId="59" applyNumberFormat="1" applyFont="1" applyAlignment="1">
      <alignment/>
    </xf>
    <xf numFmtId="166" fontId="0" fillId="0" borderId="0" xfId="42" applyNumberFormat="1" applyFont="1" applyAlignment="1">
      <alignment/>
    </xf>
    <xf numFmtId="166" fontId="0" fillId="0" borderId="0" xfId="0" applyNumberFormat="1" applyAlignment="1">
      <alignment/>
    </xf>
    <xf numFmtId="169" fontId="0" fillId="0" borderId="0" xfId="0" applyNumberFormat="1" applyAlignment="1">
      <alignment/>
    </xf>
    <xf numFmtId="10" fontId="0" fillId="0" borderId="0" xfId="59" applyNumberFormat="1" applyFont="1" applyAlignment="1">
      <alignment/>
    </xf>
    <xf numFmtId="173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0" borderId="0" xfId="0" applyAlignment="1" quotePrefix="1">
      <alignment/>
    </xf>
    <xf numFmtId="9" fontId="0" fillId="0" borderId="0" xfId="0" applyNumberFormat="1" applyAlignment="1">
      <alignment/>
    </xf>
    <xf numFmtId="166" fontId="0" fillId="0" borderId="0" xfId="42" applyNumberFormat="1" applyAlignment="1">
      <alignment/>
    </xf>
    <xf numFmtId="164" fontId="0" fillId="0" borderId="0" xfId="59" applyNumberFormat="1" applyAlignment="1">
      <alignment/>
    </xf>
    <xf numFmtId="10" fontId="0" fillId="0" borderId="0" xfId="59" applyNumberFormat="1" applyAlignment="1">
      <alignment/>
    </xf>
    <xf numFmtId="9" fontId="0" fillId="0" borderId="0" xfId="59" applyAlignment="1">
      <alignment/>
    </xf>
    <xf numFmtId="166" fontId="0" fillId="0" borderId="0" xfId="42" applyNumberFormat="1" applyFont="1" applyAlignment="1">
      <alignment/>
    </xf>
    <xf numFmtId="0" fontId="0" fillId="0" borderId="0" xfId="0" applyAlignment="1">
      <alignment horizontal="center"/>
    </xf>
    <xf numFmtId="166" fontId="0" fillId="0" borderId="10" xfId="42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9"/>
  <sheetViews>
    <sheetView tabSelected="1" zoomScalePageLayoutView="0" workbookViewId="0" topLeftCell="A1">
      <selection activeCell="K13" sqref="K13"/>
    </sheetView>
  </sheetViews>
  <sheetFormatPr defaultColWidth="9.140625" defaultRowHeight="12.75"/>
  <cols>
    <col min="1" max="1" width="13.8515625" style="0" customWidth="1"/>
    <col min="2" max="2" width="10.7109375" style="0" customWidth="1"/>
    <col min="3" max="4" width="10.28125" style="0" bestFit="1" customWidth="1"/>
    <col min="8" max="8" width="10.28125" style="0" bestFit="1" customWidth="1"/>
    <col min="10" max="11" width="10.28125" style="0" bestFit="1" customWidth="1"/>
    <col min="14" max="14" width="10.28125" style="0" bestFit="1" customWidth="1"/>
    <col min="15" max="15" width="5.00390625" style="0" customWidth="1"/>
    <col min="21" max="21" width="9.28125" style="0" bestFit="1" customWidth="1"/>
  </cols>
  <sheetData>
    <row r="1" ht="12.75">
      <c r="A1" t="s">
        <v>40</v>
      </c>
    </row>
    <row r="3" spans="1:12" ht="12.75">
      <c r="A3" t="s">
        <v>2</v>
      </c>
      <c r="B3" s="3">
        <v>100000</v>
      </c>
      <c r="J3" t="s">
        <v>16</v>
      </c>
      <c r="K3" s="4">
        <f>SUM(K12:K21)</f>
        <v>22255.328998552064</v>
      </c>
      <c r="L3" s="9" t="s">
        <v>34</v>
      </c>
    </row>
    <row r="4" spans="1:12" ht="12.75">
      <c r="A4" t="s">
        <v>3</v>
      </c>
      <c r="B4" s="2">
        <v>0.03</v>
      </c>
      <c r="J4" t="s">
        <v>17</v>
      </c>
      <c r="K4" s="4">
        <f>B3-K3</f>
        <v>77744.67100144793</v>
      </c>
      <c r="L4" s="9" t="s">
        <v>35</v>
      </c>
    </row>
    <row r="5" spans="1:12" ht="12.75">
      <c r="A5" t="s">
        <v>4</v>
      </c>
      <c r="B5" s="2">
        <v>0.03</v>
      </c>
      <c r="K5" s="4"/>
      <c r="L5" s="9"/>
    </row>
    <row r="6" spans="1:2" ht="12.75">
      <c r="A6" t="s">
        <v>41</v>
      </c>
      <c r="B6" s="2">
        <v>0.04</v>
      </c>
    </row>
    <row r="7" spans="1:11" ht="12.75">
      <c r="A7" s="8" t="s">
        <v>5</v>
      </c>
      <c r="B7" s="2">
        <v>0.045</v>
      </c>
      <c r="J7" t="s">
        <v>18</v>
      </c>
      <c r="K7" s="6">
        <f>(E21/K4)^0.1-1</f>
        <v>0.04518799464739365</v>
      </c>
    </row>
    <row r="8" spans="1:11" ht="12.75">
      <c r="A8" s="8" t="s">
        <v>23</v>
      </c>
      <c r="K8" s="10">
        <v>0.06</v>
      </c>
    </row>
    <row r="9" spans="1:14" ht="12.75">
      <c r="A9" s="16"/>
      <c r="B9" s="16"/>
      <c r="C9" s="16"/>
      <c r="D9" s="16"/>
      <c r="E9" s="16"/>
      <c r="F9" s="16"/>
      <c r="G9" s="16"/>
      <c r="H9" s="16" t="s">
        <v>11</v>
      </c>
      <c r="I9" s="16" t="s">
        <v>13</v>
      </c>
      <c r="J9" s="16" t="s">
        <v>24</v>
      </c>
      <c r="K9" s="16" t="s">
        <v>15</v>
      </c>
      <c r="L9" s="16"/>
      <c r="M9" s="16" t="s">
        <v>0</v>
      </c>
      <c r="N9" s="16"/>
    </row>
    <row r="10" spans="1:21" ht="12.75">
      <c r="A10" s="16" t="s">
        <v>39</v>
      </c>
      <c r="B10" s="16" t="s">
        <v>0</v>
      </c>
      <c r="C10" s="16" t="s">
        <v>6</v>
      </c>
      <c r="D10" s="16" t="s">
        <v>7</v>
      </c>
      <c r="E10" s="16" t="s">
        <v>8</v>
      </c>
      <c r="F10" s="16" t="s">
        <v>9</v>
      </c>
      <c r="G10" s="16" t="s">
        <v>10</v>
      </c>
      <c r="H10" s="16" t="s">
        <v>12</v>
      </c>
      <c r="I10" s="16" t="s">
        <v>12</v>
      </c>
      <c r="J10" s="16" t="s">
        <v>25</v>
      </c>
      <c r="K10" s="16" t="s">
        <v>14</v>
      </c>
      <c r="L10" s="16"/>
      <c r="M10" s="16" t="s">
        <v>19</v>
      </c>
      <c r="N10" s="16" t="s">
        <v>20</v>
      </c>
      <c r="P10" t="s">
        <v>21</v>
      </c>
      <c r="R10" t="s">
        <v>20</v>
      </c>
      <c r="S10" t="s">
        <v>22</v>
      </c>
      <c r="T10" t="s">
        <v>36</v>
      </c>
      <c r="U10" t="s">
        <v>37</v>
      </c>
    </row>
    <row r="11" spans="3:21" ht="12.75">
      <c r="C11" s="3">
        <f>B3</f>
        <v>100000</v>
      </c>
      <c r="D11" s="3">
        <f>0.9*B3</f>
        <v>90000</v>
      </c>
      <c r="E11" s="3"/>
      <c r="G11">
        <v>1</v>
      </c>
      <c r="L11" s="4">
        <f>K4</f>
        <v>77744.67100144793</v>
      </c>
      <c r="M11">
        <v>1</v>
      </c>
      <c r="N11" s="3">
        <f>K4</f>
        <v>77744.67100144793</v>
      </c>
      <c r="O11" s="3"/>
      <c r="P11" s="4">
        <f>NPV($B$6,J12:$J$21)</f>
        <v>22255.328998552057</v>
      </c>
      <c r="Q11" s="4"/>
      <c r="R11" s="4">
        <f>N11</f>
        <v>77744.67100144793</v>
      </c>
      <c r="S11" s="4">
        <f>R11+P11</f>
        <v>99999.99999999999</v>
      </c>
      <c r="T11" s="4">
        <f>K3</f>
        <v>22255.328998552064</v>
      </c>
      <c r="U11" s="4">
        <f>K4</f>
        <v>77744.67100144793</v>
      </c>
    </row>
    <row r="12" spans="1:21" ht="12.75">
      <c r="A12" s="16">
        <v>1</v>
      </c>
      <c r="B12" s="2">
        <f>$B$6</f>
        <v>0.04</v>
      </c>
      <c r="C12" s="3">
        <f>C11+C11*$B$7*(1+$B$5)</f>
        <v>104635</v>
      </c>
      <c r="D12" s="3">
        <f>D11*(1+$B$4)</f>
        <v>92700</v>
      </c>
      <c r="E12" s="3">
        <f>MAX(D12,$B$3)</f>
        <v>100000</v>
      </c>
      <c r="F12" s="1">
        <v>0.01</v>
      </c>
      <c r="G12" s="5">
        <f>G11*(1-F12)</f>
        <v>0.99</v>
      </c>
      <c r="H12" s="3">
        <f>C12*F12*G11</f>
        <v>1046.35</v>
      </c>
      <c r="I12" s="3">
        <f>E12*F12*G11</f>
        <v>1000</v>
      </c>
      <c r="J12" s="3">
        <f>H12-I12</f>
        <v>46.34999999999991</v>
      </c>
      <c r="K12" s="3">
        <f>J12*M12</f>
        <v>44.5673076923076</v>
      </c>
      <c r="L12" s="4">
        <f>L11+I12</f>
        <v>78744.67100144793</v>
      </c>
      <c r="M12" s="7">
        <f>M11/(1+B12)</f>
        <v>0.9615384615384615</v>
      </c>
      <c r="N12" s="3">
        <f>N11*(1+$K$7)</f>
        <v>81257.79677852475</v>
      </c>
      <c r="O12" s="3"/>
      <c r="P12" s="4">
        <f>NPV($B$6,J13:$J$21)</f>
        <v>23099.19215849414</v>
      </c>
      <c r="Q12" s="4">
        <f>P11*(1+B12)-J12</f>
        <v>23099.19215849414</v>
      </c>
      <c r="R12" s="4">
        <f aca="true" t="shared" si="0" ref="R12:R21">N12</f>
        <v>81257.79677852475</v>
      </c>
      <c r="S12" s="4">
        <f aca="true" t="shared" si="1" ref="S12:S21">R12+P12</f>
        <v>104356.98893701889</v>
      </c>
      <c r="T12" s="4">
        <f>P12</f>
        <v>23099.19215849414</v>
      </c>
      <c r="U12" s="3">
        <f>U11*(1+$K$8)</f>
        <v>82409.35126153482</v>
      </c>
    </row>
    <row r="13" spans="1:21" ht="12.75">
      <c r="A13" s="16">
        <f>A12+1</f>
        <v>2</v>
      </c>
      <c r="B13" s="2">
        <f aca="true" t="shared" si="2" ref="B13:B21">$B$6</f>
        <v>0.04</v>
      </c>
      <c r="C13" s="3">
        <f aca="true" t="shared" si="3" ref="C13:C21">C12+C12*$B$7*(1+$B$5)</f>
        <v>109484.83225</v>
      </c>
      <c r="D13" s="3">
        <f aca="true" t="shared" si="4" ref="D13:D21">D12*(1+$B$4)</f>
        <v>95481</v>
      </c>
      <c r="E13" s="3">
        <f aca="true" t="shared" si="5" ref="E13:E21">MAX(D13,$B$3)</f>
        <v>100000</v>
      </c>
      <c r="F13" s="1">
        <v>0.02</v>
      </c>
      <c r="G13" s="5">
        <f aca="true" t="shared" si="6" ref="G13:G21">G12*(1-F13)</f>
        <v>0.9702</v>
      </c>
      <c r="H13" s="3">
        <f aca="true" t="shared" si="7" ref="H13:H21">C13*F13*G12</f>
        <v>2167.79967855</v>
      </c>
      <c r="I13" s="3">
        <f aca="true" t="shared" si="8" ref="I13:I21">E13*F13*G12</f>
        <v>1980</v>
      </c>
      <c r="J13" s="3">
        <f aca="true" t="shared" si="9" ref="J13:J21">H13-I13</f>
        <v>187.79967854999995</v>
      </c>
      <c r="K13" s="3">
        <f aca="true" t="shared" si="10" ref="K13:K21">J13*M13</f>
        <v>173.631359606139</v>
      </c>
      <c r="L13" s="4">
        <f aca="true" t="shared" si="11" ref="L13:L21">L12+I13</f>
        <v>80724.67100144793</v>
      </c>
      <c r="M13" s="7">
        <f aca="true" t="shared" si="12" ref="M13:M21">M12/(1+B13)</f>
        <v>0.9245562130177514</v>
      </c>
      <c r="N13" s="3">
        <f aca="true" t="shared" si="13" ref="N13:N21">N12*(1+$K$7)</f>
        <v>84929.67366441172</v>
      </c>
      <c r="O13" s="3"/>
      <c r="P13" s="4">
        <f>NPV($B$6,J14:$J$21)</f>
        <v>23835.360166283906</v>
      </c>
      <c r="Q13" s="4">
        <f aca="true" t="shared" si="14" ref="Q13:Q20">P12*(1+B13)-J13</f>
        <v>23835.360166283906</v>
      </c>
      <c r="R13" s="4">
        <f t="shared" si="0"/>
        <v>84929.67366441172</v>
      </c>
      <c r="S13" s="4">
        <f t="shared" si="1"/>
        <v>108765.03383069563</v>
      </c>
      <c r="T13" s="4">
        <f aca="true" t="shared" si="15" ref="T13:T21">P13</f>
        <v>23835.360166283906</v>
      </c>
      <c r="U13" s="3">
        <f aca="true" t="shared" si="16" ref="U13:U21">U12*(1+$K$8)</f>
        <v>87353.91233722691</v>
      </c>
    </row>
    <row r="14" spans="1:21" ht="12.75">
      <c r="A14" s="16">
        <f aca="true" t="shared" si="17" ref="A14:A21">A13+1</f>
        <v>3</v>
      </c>
      <c r="B14" s="2">
        <f t="shared" si="2"/>
        <v>0.04</v>
      </c>
      <c r="C14" s="3">
        <f t="shared" si="3"/>
        <v>114559.4542247875</v>
      </c>
      <c r="D14" s="3">
        <f t="shared" si="4"/>
        <v>98345.43000000001</v>
      </c>
      <c r="E14" s="3">
        <f t="shared" si="5"/>
        <v>100000</v>
      </c>
      <c r="F14" s="1">
        <v>0.03</v>
      </c>
      <c r="G14" s="5">
        <f t="shared" si="6"/>
        <v>0.9410939999999999</v>
      </c>
      <c r="H14" s="3">
        <f t="shared" si="7"/>
        <v>3334.3674746666647</v>
      </c>
      <c r="I14" s="3">
        <f t="shared" si="8"/>
        <v>2910.6</v>
      </c>
      <c r="J14" s="3">
        <f t="shared" si="9"/>
        <v>423.76747466666484</v>
      </c>
      <c r="K14" s="3">
        <f t="shared" si="10"/>
        <v>376.7277419018342</v>
      </c>
      <c r="L14" s="4">
        <f t="shared" si="11"/>
        <v>83635.27100144794</v>
      </c>
      <c r="M14" s="7">
        <f t="shared" si="12"/>
        <v>0.8889963586709148</v>
      </c>
      <c r="N14" s="3">
        <f t="shared" si="13"/>
        <v>88767.47530336404</v>
      </c>
      <c r="O14" s="3"/>
      <c r="P14" s="4">
        <f>NPV($B$6,J15:$J$21)</f>
        <v>24365.007098268605</v>
      </c>
      <c r="Q14" s="4">
        <f t="shared" si="14"/>
        <v>24365.0070982686</v>
      </c>
      <c r="R14" s="4">
        <f t="shared" si="0"/>
        <v>88767.47530336404</v>
      </c>
      <c r="S14" s="4">
        <f t="shared" si="1"/>
        <v>113132.48240163265</v>
      </c>
      <c r="T14" s="4">
        <f t="shared" si="15"/>
        <v>24365.007098268605</v>
      </c>
      <c r="U14" s="3">
        <f t="shared" si="16"/>
        <v>92595.14707746053</v>
      </c>
    </row>
    <row r="15" spans="1:21" ht="12.75">
      <c r="A15" s="16">
        <f t="shared" si="17"/>
        <v>4</v>
      </c>
      <c r="B15" s="2">
        <f t="shared" si="2"/>
        <v>0.04</v>
      </c>
      <c r="C15" s="3">
        <f t="shared" si="3"/>
        <v>119869.28492810641</v>
      </c>
      <c r="D15" s="3">
        <f t="shared" si="4"/>
        <v>101295.79290000001</v>
      </c>
      <c r="E15" s="3">
        <f t="shared" si="5"/>
        <v>101295.79290000001</v>
      </c>
      <c r="F15" s="1">
        <v>0.04</v>
      </c>
      <c r="G15" s="5">
        <f t="shared" si="6"/>
        <v>0.9034502399999998</v>
      </c>
      <c r="H15" s="3">
        <f t="shared" si="7"/>
        <v>4512.330593205254</v>
      </c>
      <c r="I15" s="3">
        <f t="shared" si="8"/>
        <v>3813.154516937304</v>
      </c>
      <c r="J15" s="3">
        <f t="shared" si="9"/>
        <v>699.1760762679505</v>
      </c>
      <c r="K15" s="3">
        <f t="shared" si="10"/>
        <v>597.6586402615633</v>
      </c>
      <c r="L15" s="4">
        <f t="shared" si="11"/>
        <v>87448.42551838524</v>
      </c>
      <c r="M15" s="7">
        <f t="shared" si="12"/>
        <v>0.8548041910297257</v>
      </c>
      <c r="N15" s="3">
        <f t="shared" si="13"/>
        <v>92778.6995022351</v>
      </c>
      <c r="O15" s="3"/>
      <c r="P15" s="4">
        <f>NPV($B$6,J16:$J$21)</f>
        <v>24640.431305931394</v>
      </c>
      <c r="Q15" s="4">
        <f t="shared" si="14"/>
        <v>24640.431305931397</v>
      </c>
      <c r="R15" s="4">
        <f t="shared" si="0"/>
        <v>92778.6995022351</v>
      </c>
      <c r="S15" s="4">
        <f t="shared" si="1"/>
        <v>117419.13080816649</v>
      </c>
      <c r="T15" s="4">
        <f t="shared" si="15"/>
        <v>24640.431305931394</v>
      </c>
      <c r="U15" s="3">
        <f t="shared" si="16"/>
        <v>98150.85590210816</v>
      </c>
    </row>
    <row r="16" spans="1:21" ht="12.75">
      <c r="A16" s="16">
        <f t="shared" si="17"/>
        <v>5</v>
      </c>
      <c r="B16" s="2">
        <f t="shared" si="2"/>
        <v>0.04</v>
      </c>
      <c r="C16" s="3">
        <f t="shared" si="3"/>
        <v>125425.22628452415</v>
      </c>
      <c r="D16" s="3">
        <f t="shared" si="4"/>
        <v>104334.66668700002</v>
      </c>
      <c r="E16" s="3">
        <f t="shared" si="5"/>
        <v>104334.66668700002</v>
      </c>
      <c r="F16" s="1">
        <v>0.05</v>
      </c>
      <c r="G16" s="5">
        <f t="shared" si="6"/>
        <v>0.8582777279999998</v>
      </c>
      <c r="H16" s="3">
        <f t="shared" si="7"/>
        <v>5665.772539440382</v>
      </c>
      <c r="I16" s="3">
        <f t="shared" si="8"/>
        <v>4713.058982934508</v>
      </c>
      <c r="J16" s="3">
        <f t="shared" si="9"/>
        <v>952.7135565058743</v>
      </c>
      <c r="K16" s="3">
        <f t="shared" si="10"/>
        <v>783.0610970692853</v>
      </c>
      <c r="L16" s="4">
        <f t="shared" si="11"/>
        <v>92161.48450131975</v>
      </c>
      <c r="M16" s="7">
        <f t="shared" si="12"/>
        <v>0.8219271067593517</v>
      </c>
      <c r="N16" s="3">
        <f t="shared" si="13"/>
        <v>96971.18287873425</v>
      </c>
      <c r="O16" s="3"/>
      <c r="P16" s="4">
        <f>NPV($B$6,J17:$J$21)</f>
        <v>24673.33500166278</v>
      </c>
      <c r="Q16" s="4">
        <f t="shared" si="14"/>
        <v>24673.335001662777</v>
      </c>
      <c r="R16" s="4">
        <f t="shared" si="0"/>
        <v>96971.18287873425</v>
      </c>
      <c r="S16" s="4">
        <f t="shared" si="1"/>
        <v>121644.51788039703</v>
      </c>
      <c r="T16" s="4">
        <f t="shared" si="15"/>
        <v>24673.33500166278</v>
      </c>
      <c r="U16" s="3">
        <f t="shared" si="16"/>
        <v>104039.90725623466</v>
      </c>
    </row>
    <row r="17" spans="1:21" ht="12.75">
      <c r="A17" s="16">
        <f t="shared" si="17"/>
        <v>6</v>
      </c>
      <c r="B17" s="2">
        <f t="shared" si="2"/>
        <v>0.04</v>
      </c>
      <c r="C17" s="3">
        <f t="shared" si="3"/>
        <v>131238.68552281184</v>
      </c>
      <c r="D17" s="3">
        <f t="shared" si="4"/>
        <v>107464.70668761003</v>
      </c>
      <c r="E17" s="3">
        <f t="shared" si="5"/>
        <v>107464.70668761003</v>
      </c>
      <c r="F17" s="1">
        <v>0.06</v>
      </c>
      <c r="G17" s="5">
        <f t="shared" si="6"/>
        <v>0.8067810643199997</v>
      </c>
      <c r="H17" s="3">
        <f t="shared" si="7"/>
        <v>6758.354450173524</v>
      </c>
      <c r="I17" s="3">
        <f t="shared" si="8"/>
        <v>5534.0738577616985</v>
      </c>
      <c r="J17" s="3">
        <f t="shared" si="9"/>
        <v>1224.2805924118256</v>
      </c>
      <c r="K17" s="3">
        <f t="shared" si="10"/>
        <v>967.5667357525739</v>
      </c>
      <c r="L17" s="4">
        <f t="shared" si="11"/>
        <v>97695.55835908145</v>
      </c>
      <c r="M17" s="7">
        <f t="shared" si="12"/>
        <v>0.7903145257301458</v>
      </c>
      <c r="N17" s="3">
        <f t="shared" si="13"/>
        <v>101353.11617160993</v>
      </c>
      <c r="O17" s="3"/>
      <c r="P17" s="4">
        <f>NPV($B$6,J18:$J$21)</f>
        <v>24435.987809317467</v>
      </c>
      <c r="Q17" s="4">
        <f t="shared" si="14"/>
        <v>24435.987809317467</v>
      </c>
      <c r="R17" s="4">
        <f t="shared" si="0"/>
        <v>101353.11617160993</v>
      </c>
      <c r="S17" s="4">
        <f t="shared" si="1"/>
        <v>125789.1039809274</v>
      </c>
      <c r="T17" s="4">
        <f t="shared" si="15"/>
        <v>24435.987809317467</v>
      </c>
      <c r="U17" s="3">
        <f t="shared" si="16"/>
        <v>110282.30169160874</v>
      </c>
    </row>
    <row r="18" spans="1:21" ht="12.75">
      <c r="A18" s="16">
        <f t="shared" si="17"/>
        <v>7</v>
      </c>
      <c r="B18" s="2">
        <f t="shared" si="2"/>
        <v>0.04</v>
      </c>
      <c r="C18" s="3">
        <f t="shared" si="3"/>
        <v>137321.59859679415</v>
      </c>
      <c r="D18" s="3">
        <f t="shared" si="4"/>
        <v>110688.64788823834</v>
      </c>
      <c r="E18" s="3">
        <f t="shared" si="5"/>
        <v>110688.64788823834</v>
      </c>
      <c r="F18" s="1">
        <v>0.07</v>
      </c>
      <c r="G18" s="5">
        <f t="shared" si="6"/>
        <v>0.7503063898175997</v>
      </c>
      <c r="H18" s="3">
        <f t="shared" si="7"/>
        <v>7755.192582903176</v>
      </c>
      <c r="I18" s="3">
        <f t="shared" si="8"/>
        <v>6251.105360599024</v>
      </c>
      <c r="J18" s="3">
        <f t="shared" si="9"/>
        <v>1504.0872223041524</v>
      </c>
      <c r="K18" s="3">
        <f t="shared" si="10"/>
        <v>1142.9826728385372</v>
      </c>
      <c r="L18" s="4">
        <f t="shared" si="11"/>
        <v>103946.66371968048</v>
      </c>
      <c r="M18" s="7">
        <f t="shared" si="12"/>
        <v>0.7599178132020633</v>
      </c>
      <c r="N18" s="3">
        <f t="shared" si="13"/>
        <v>105933.06024266931</v>
      </c>
      <c r="O18" s="3"/>
      <c r="P18" s="4">
        <f>NPV($B$6,J19:$J$21)</f>
        <v>23909.340099386012</v>
      </c>
      <c r="Q18" s="4">
        <f t="shared" si="14"/>
        <v>23909.340099386016</v>
      </c>
      <c r="R18" s="4">
        <f t="shared" si="0"/>
        <v>105933.06024266931</v>
      </c>
      <c r="S18" s="4">
        <f t="shared" si="1"/>
        <v>129842.40034205532</v>
      </c>
      <c r="T18" s="4">
        <f t="shared" si="15"/>
        <v>23909.340099386012</v>
      </c>
      <c r="U18" s="3">
        <f t="shared" si="16"/>
        <v>116899.23979310527</v>
      </c>
    </row>
    <row r="19" spans="1:21" ht="12.75">
      <c r="A19" s="16">
        <f t="shared" si="17"/>
        <v>8</v>
      </c>
      <c r="B19" s="2">
        <f t="shared" si="2"/>
        <v>0.04</v>
      </c>
      <c r="C19" s="3">
        <f t="shared" si="3"/>
        <v>143686.45469175556</v>
      </c>
      <c r="D19" s="3">
        <f t="shared" si="4"/>
        <v>114009.30732488549</v>
      </c>
      <c r="E19" s="3">
        <f t="shared" si="5"/>
        <v>114009.30732488549</v>
      </c>
      <c r="F19" s="1">
        <v>0.08</v>
      </c>
      <c r="G19" s="5">
        <f t="shared" si="6"/>
        <v>0.6902818786321917</v>
      </c>
      <c r="H19" s="3">
        <f t="shared" si="7"/>
        <v>8624.709206836898</v>
      </c>
      <c r="I19" s="3">
        <f t="shared" si="8"/>
        <v>6843.352942763205</v>
      </c>
      <c r="J19" s="3">
        <f t="shared" si="9"/>
        <v>1781.3562640736936</v>
      </c>
      <c r="K19" s="3">
        <f t="shared" si="10"/>
        <v>1301.6195737775754</v>
      </c>
      <c r="L19" s="4">
        <f t="shared" si="11"/>
        <v>110790.01666244368</v>
      </c>
      <c r="M19" s="7">
        <f t="shared" si="12"/>
        <v>0.7306902050019839</v>
      </c>
      <c r="N19" s="3">
        <f t="shared" si="13"/>
        <v>110719.96280189708</v>
      </c>
      <c r="O19" s="3"/>
      <c r="P19" s="4">
        <f>NPV($B$6,J20:$J$21)</f>
        <v>23084.357439287764</v>
      </c>
      <c r="Q19" s="4">
        <f t="shared" si="14"/>
        <v>23084.35743928776</v>
      </c>
      <c r="R19" s="4">
        <f t="shared" si="0"/>
        <v>110719.96280189708</v>
      </c>
      <c r="S19" s="4">
        <f t="shared" si="1"/>
        <v>133804.32024118485</v>
      </c>
      <c r="T19" s="4">
        <f t="shared" si="15"/>
        <v>23084.357439287764</v>
      </c>
      <c r="U19" s="3">
        <f t="shared" si="16"/>
        <v>123913.19418069159</v>
      </c>
    </row>
    <row r="20" spans="1:21" ht="12.75">
      <c r="A20" s="16">
        <f t="shared" si="17"/>
        <v>9</v>
      </c>
      <c r="B20" s="2">
        <f t="shared" si="2"/>
        <v>0.04</v>
      </c>
      <c r="C20" s="3">
        <f t="shared" si="3"/>
        <v>150346.3218667184</v>
      </c>
      <c r="D20" s="3">
        <f t="shared" si="4"/>
        <v>117429.58654463205</v>
      </c>
      <c r="E20" s="3">
        <f t="shared" si="5"/>
        <v>117429.58654463205</v>
      </c>
      <c r="F20" s="1">
        <v>0.09</v>
      </c>
      <c r="G20" s="5">
        <f t="shared" si="6"/>
        <v>0.6281565095552945</v>
      </c>
      <c r="H20" s="3">
        <f t="shared" si="7"/>
        <v>9340.320735323869</v>
      </c>
      <c r="I20" s="3">
        <f t="shared" si="8"/>
        <v>7295.356404632713</v>
      </c>
      <c r="J20" s="3">
        <f t="shared" si="9"/>
        <v>2044.9643306911557</v>
      </c>
      <c r="K20" s="3">
        <f t="shared" si="10"/>
        <v>1436.7648134754475</v>
      </c>
      <c r="L20" s="4">
        <f t="shared" si="11"/>
        <v>118085.37306707639</v>
      </c>
      <c r="M20" s="7">
        <f t="shared" si="12"/>
        <v>0.7025867355788307</v>
      </c>
      <c r="N20" s="3">
        <f t="shared" si="13"/>
        <v>115723.17588834884</v>
      </c>
      <c r="O20" s="3"/>
      <c r="P20" s="4">
        <f>NPV($B$6,J21:$J$21)</f>
        <v>21962.767406168117</v>
      </c>
      <c r="Q20" s="4">
        <f t="shared" si="14"/>
        <v>21962.767406168117</v>
      </c>
      <c r="R20" s="4">
        <f t="shared" si="0"/>
        <v>115723.17588834884</v>
      </c>
      <c r="S20" s="4">
        <f t="shared" si="1"/>
        <v>137685.94329451694</v>
      </c>
      <c r="T20" s="4">
        <f t="shared" si="15"/>
        <v>21962.767406168117</v>
      </c>
      <c r="U20" s="3">
        <f t="shared" si="16"/>
        <v>131347.9858315331</v>
      </c>
    </row>
    <row r="21" spans="1:21" ht="12.75">
      <c r="A21" s="16">
        <f t="shared" si="17"/>
        <v>10</v>
      </c>
      <c r="B21" s="2">
        <f t="shared" si="2"/>
        <v>0.04</v>
      </c>
      <c r="C21" s="3">
        <f t="shared" si="3"/>
        <v>157314.8738852408</v>
      </c>
      <c r="D21" s="3">
        <f t="shared" si="4"/>
        <v>120952.47414097101</v>
      </c>
      <c r="E21" s="3">
        <f t="shared" si="5"/>
        <v>120952.47414097101</v>
      </c>
      <c r="F21" s="1">
        <v>1</v>
      </c>
      <c r="G21" s="5">
        <f t="shared" si="6"/>
        <v>0</v>
      </c>
      <c r="H21" s="3">
        <f t="shared" si="7"/>
        <v>98818.36208088421</v>
      </c>
      <c r="I21" s="3">
        <f t="shared" si="8"/>
        <v>75977.08397846937</v>
      </c>
      <c r="J21" s="3">
        <f t="shared" si="9"/>
        <v>22841.278102414843</v>
      </c>
      <c r="K21" s="3">
        <f t="shared" si="10"/>
        <v>15430.7490561768</v>
      </c>
      <c r="L21" s="4">
        <f t="shared" si="11"/>
        <v>194062.45704554574</v>
      </c>
      <c r="M21" s="7">
        <f t="shared" si="12"/>
        <v>0.6755641688257987</v>
      </c>
      <c r="N21" s="3">
        <f t="shared" si="13"/>
        <v>120952.47414097094</v>
      </c>
      <c r="O21" s="3"/>
      <c r="P21" s="4"/>
      <c r="Q21" s="4"/>
      <c r="R21" s="4">
        <f t="shared" si="0"/>
        <v>120952.47414097094</v>
      </c>
      <c r="S21" s="4">
        <f t="shared" si="1"/>
        <v>120952.47414097094</v>
      </c>
      <c r="T21" s="4">
        <f t="shared" si="15"/>
        <v>0</v>
      </c>
      <c r="U21" s="3">
        <f t="shared" si="16"/>
        <v>139228.86498142508</v>
      </c>
    </row>
    <row r="22" spans="8:15" ht="13.5" thickBot="1">
      <c r="H22" s="3"/>
      <c r="I22" s="3"/>
      <c r="J22" s="3"/>
      <c r="K22" s="3"/>
      <c r="N22" s="3"/>
      <c r="O22" s="3"/>
    </row>
    <row r="23" spans="3:15" ht="13.5" thickBot="1">
      <c r="C23" s="3"/>
      <c r="H23" s="3">
        <f>SUM(H12:H21)</f>
        <v>148023.559341984</v>
      </c>
      <c r="I23" s="3">
        <f>SUM(I12:I21)</f>
        <v>116317.78604409783</v>
      </c>
      <c r="J23" s="3">
        <f>SUM(J12:J21)</f>
        <v>31705.77329788616</v>
      </c>
      <c r="K23" s="17">
        <f>SUM(K12:K21)</f>
        <v>22255.328998552064</v>
      </c>
      <c r="N23" s="3"/>
      <c r="O23" s="3"/>
    </row>
    <row r="25" ht="12.75">
      <c r="A25" t="s">
        <v>26</v>
      </c>
    </row>
    <row r="26" ht="12.75">
      <c r="A26" t="s">
        <v>27</v>
      </c>
    </row>
    <row r="28" spans="2:9" ht="12.75">
      <c r="B28" t="s">
        <v>28</v>
      </c>
      <c r="C28" s="4">
        <f>K3+K4</f>
        <v>100000</v>
      </c>
      <c r="D28" t="s">
        <v>30</v>
      </c>
      <c r="E28" s="4">
        <f>U12+T12</f>
        <v>105508.54342002896</v>
      </c>
      <c r="F28" t="s">
        <v>32</v>
      </c>
      <c r="G28" s="4">
        <f>E28-C28-(E29-C29)</f>
        <v>1151.5544830100698</v>
      </c>
      <c r="H28" t="s">
        <v>33</v>
      </c>
      <c r="I28">
        <v>135</v>
      </c>
    </row>
    <row r="29" spans="2:9" ht="12.75">
      <c r="B29" t="s">
        <v>29</v>
      </c>
      <c r="C29" s="4">
        <f>C11</f>
        <v>100000</v>
      </c>
      <c r="D29" t="s">
        <v>31</v>
      </c>
      <c r="E29" s="4">
        <f>S12</f>
        <v>104356.98893701889</v>
      </c>
      <c r="H29" t="s">
        <v>38</v>
      </c>
      <c r="I29">
        <v>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8"/>
  <sheetViews>
    <sheetView zoomScalePageLayoutView="0" workbookViewId="0" topLeftCell="A1">
      <selection activeCell="K3" sqref="K3"/>
    </sheetView>
  </sheetViews>
  <sheetFormatPr defaultColWidth="9.140625" defaultRowHeight="12.75"/>
  <cols>
    <col min="1" max="1" width="14.7109375" style="0" customWidth="1"/>
    <col min="2" max="4" width="10.28125" style="0" bestFit="1" customWidth="1"/>
    <col min="8" max="8" width="10.28125" style="0" bestFit="1" customWidth="1"/>
    <col min="10" max="11" width="10.28125" style="0" bestFit="1" customWidth="1"/>
    <col min="14" max="14" width="10.28125" style="0" bestFit="1" customWidth="1"/>
    <col min="15" max="15" width="5.00390625" style="0" customWidth="1"/>
    <col min="21" max="21" width="9.28125" style="0" bestFit="1" customWidth="1"/>
  </cols>
  <sheetData>
    <row r="1" ht="12.75">
      <c r="A1" t="s">
        <v>1</v>
      </c>
    </row>
    <row r="3" spans="1:12" ht="12.75">
      <c r="A3" t="s">
        <v>2</v>
      </c>
      <c r="B3" s="11">
        <v>100000</v>
      </c>
      <c r="J3" t="s">
        <v>16</v>
      </c>
      <c r="K3" s="4">
        <f>Base!K3</f>
        <v>22255.328998552064</v>
      </c>
      <c r="L3" s="9" t="s">
        <v>34</v>
      </c>
    </row>
    <row r="4" spans="1:12" ht="12.75">
      <c r="A4" t="s">
        <v>3</v>
      </c>
      <c r="B4" s="12">
        <v>0.03</v>
      </c>
      <c r="J4" t="s">
        <v>17</v>
      </c>
      <c r="K4" s="4">
        <f>B3-K3</f>
        <v>77744.67100144793</v>
      </c>
      <c r="L4" s="9" t="s">
        <v>35</v>
      </c>
    </row>
    <row r="5" spans="1:2" ht="12.75">
      <c r="A5" t="s">
        <v>4</v>
      </c>
      <c r="B5" s="12">
        <v>0.04</v>
      </c>
    </row>
    <row r="6" spans="1:12" ht="12.75">
      <c r="A6" s="8" t="s">
        <v>5</v>
      </c>
      <c r="B6" s="12">
        <v>0.045</v>
      </c>
      <c r="J6" t="s">
        <v>18</v>
      </c>
      <c r="K6" s="13">
        <f>(E20/K4)^0.1-1</f>
        <v>0.04518799464739365</v>
      </c>
      <c r="L6">
        <v>0.043</v>
      </c>
    </row>
    <row r="7" spans="1:11" ht="12.75">
      <c r="A7" s="8" t="s">
        <v>23</v>
      </c>
      <c r="K7" s="10">
        <v>0.06</v>
      </c>
    </row>
    <row r="8" spans="8:13" ht="12.75">
      <c r="H8" t="s">
        <v>11</v>
      </c>
      <c r="I8" t="s">
        <v>13</v>
      </c>
      <c r="J8" t="s">
        <v>24</v>
      </c>
      <c r="K8" t="s">
        <v>15</v>
      </c>
      <c r="M8" t="s">
        <v>0</v>
      </c>
    </row>
    <row r="9" spans="2:21" ht="12.75">
      <c r="B9" t="s">
        <v>0</v>
      </c>
      <c r="C9" t="s">
        <v>6</v>
      </c>
      <c r="D9" t="s">
        <v>7</v>
      </c>
      <c r="E9" t="s">
        <v>8</v>
      </c>
      <c r="F9" t="s">
        <v>9</v>
      </c>
      <c r="G9" t="s">
        <v>10</v>
      </c>
      <c r="H9" t="s">
        <v>12</v>
      </c>
      <c r="I9" t="s">
        <v>12</v>
      </c>
      <c r="J9" t="s">
        <v>25</v>
      </c>
      <c r="K9" t="s">
        <v>14</v>
      </c>
      <c r="M9" t="s">
        <v>19</v>
      </c>
      <c r="N9" t="s">
        <v>20</v>
      </c>
      <c r="P9" t="s">
        <v>21</v>
      </c>
      <c r="R9" t="s">
        <v>20</v>
      </c>
      <c r="S9" t="s">
        <v>22</v>
      </c>
      <c r="T9" t="s">
        <v>36</v>
      </c>
      <c r="U9" t="s">
        <v>37</v>
      </c>
    </row>
    <row r="10" spans="3:21" ht="12.75">
      <c r="C10" s="11">
        <f>B3</f>
        <v>100000</v>
      </c>
      <c r="D10" s="11">
        <f>0.9*B3</f>
        <v>90000</v>
      </c>
      <c r="E10" s="11"/>
      <c r="G10">
        <v>1</v>
      </c>
      <c r="L10" s="4">
        <f>K4</f>
        <v>77744.67100144793</v>
      </c>
      <c r="M10">
        <v>1</v>
      </c>
      <c r="N10" s="11">
        <f>K4</f>
        <v>77744.67100144793</v>
      </c>
      <c r="O10" s="11"/>
      <c r="P10" s="4">
        <f>NPV($B$5,J11:$J$20)</f>
        <v>28017.956601107602</v>
      </c>
      <c r="Q10" s="4"/>
      <c r="R10" s="4">
        <f aca="true" t="shared" si="0" ref="R10:R20">N10</f>
        <v>77744.67100144793</v>
      </c>
      <c r="S10" s="4">
        <f aca="true" t="shared" si="1" ref="S10:S20">R10+P10</f>
        <v>105762.62760255553</v>
      </c>
      <c r="T10" s="4">
        <f>K3</f>
        <v>22255.328998552064</v>
      </c>
      <c r="U10" s="4">
        <f>K4</f>
        <v>77744.67100144793</v>
      </c>
    </row>
    <row r="11" spans="1:21" ht="12.75">
      <c r="A11">
        <v>1</v>
      </c>
      <c r="B11" s="12">
        <f aca="true" t="shared" si="2" ref="B11:B20">$B$5</f>
        <v>0.04</v>
      </c>
      <c r="C11" s="11">
        <f>C10*(1.1)</f>
        <v>110000.00000000001</v>
      </c>
      <c r="D11" s="11">
        <f aca="true" t="shared" si="3" ref="D11:D20">D10*(1+$B$4)</f>
        <v>92700</v>
      </c>
      <c r="E11" s="11">
        <f aca="true" t="shared" si="4" ref="E11:E20">MAX(D11,$B$3)</f>
        <v>100000</v>
      </c>
      <c r="F11" s="14">
        <v>0.01</v>
      </c>
      <c r="G11" s="5">
        <f aca="true" t="shared" si="5" ref="G11:G20">G10*(1-F11)</f>
        <v>0.99</v>
      </c>
      <c r="H11" s="11">
        <f aca="true" t="shared" si="6" ref="H11:H20">C11*F11*G10</f>
        <v>1100.0000000000002</v>
      </c>
      <c r="I11" s="11">
        <f aca="true" t="shared" si="7" ref="I11:I20">E11*F11*G10</f>
        <v>1000</v>
      </c>
      <c r="J11" s="11">
        <f aca="true" t="shared" si="8" ref="J11:J20">H11-I11</f>
        <v>100.00000000000023</v>
      </c>
      <c r="K11" s="11">
        <f aca="true" t="shared" si="9" ref="K11:K20">J11*M11</f>
        <v>96.15384615384636</v>
      </c>
      <c r="L11" s="4">
        <f aca="true" t="shared" si="10" ref="L11:L20">L10+I11</f>
        <v>78744.67100144793</v>
      </c>
      <c r="M11" s="7">
        <f aca="true" t="shared" si="11" ref="M11:M20">M10/(1+B11)</f>
        <v>0.9615384615384615</v>
      </c>
      <c r="N11" s="11">
        <f aca="true" t="shared" si="12" ref="N11:N20">N10*(1+$K$6)</f>
        <v>81257.79677852475</v>
      </c>
      <c r="O11" s="11"/>
      <c r="P11" s="4">
        <f>NPV($B$5,J12:$J$20)</f>
        <v>29038.67486515191</v>
      </c>
      <c r="Q11" s="4">
        <f aca="true" t="shared" si="13" ref="Q11:Q19">P10*(1+B11)-J11</f>
        <v>29038.67486515191</v>
      </c>
      <c r="R11" s="4">
        <f t="shared" si="0"/>
        <v>81257.79677852475</v>
      </c>
      <c r="S11" s="4">
        <f t="shared" si="1"/>
        <v>110296.47164367666</v>
      </c>
      <c r="T11" s="4">
        <f aca="true" t="shared" si="14" ref="T11:T20">P11</f>
        <v>29038.67486515191</v>
      </c>
      <c r="U11" s="11">
        <f aca="true" t="shared" si="15" ref="U11:U20">U10*(1+$K$7)</f>
        <v>82409.35126153482</v>
      </c>
    </row>
    <row r="12" spans="1:21" ht="12.75">
      <c r="A12">
        <f aca="true" t="shared" si="16" ref="A12:A20">A11+1</f>
        <v>2</v>
      </c>
      <c r="B12" s="12">
        <f t="shared" si="2"/>
        <v>0.04</v>
      </c>
      <c r="C12" s="11">
        <f aca="true" t="shared" si="17" ref="C12:C20">C11+C11*$B$6*(1+$B$5)</f>
        <v>115148.00000000001</v>
      </c>
      <c r="D12" s="11">
        <f t="shared" si="3"/>
        <v>95481</v>
      </c>
      <c r="E12" s="11">
        <f t="shared" si="4"/>
        <v>100000</v>
      </c>
      <c r="F12" s="14">
        <v>0.02</v>
      </c>
      <c r="G12" s="5">
        <f t="shared" si="5"/>
        <v>0.9702</v>
      </c>
      <c r="H12" s="11">
        <f t="shared" si="6"/>
        <v>2279.9304000000006</v>
      </c>
      <c r="I12" s="11">
        <f t="shared" si="7"/>
        <v>1980</v>
      </c>
      <c r="J12" s="11">
        <f t="shared" si="8"/>
        <v>299.93040000000065</v>
      </c>
      <c r="K12" s="11">
        <f t="shared" si="9"/>
        <v>277.30251479289996</v>
      </c>
      <c r="L12" s="4">
        <f t="shared" si="10"/>
        <v>80724.67100144793</v>
      </c>
      <c r="M12" s="7">
        <f t="shared" si="11"/>
        <v>0.9245562130177514</v>
      </c>
      <c r="N12" s="11">
        <f t="shared" si="12"/>
        <v>84929.67366441172</v>
      </c>
      <c r="O12" s="11"/>
      <c r="P12" s="4">
        <f>NPV($B$5,J13:$J$20)</f>
        <v>29900.291459757987</v>
      </c>
      <c r="Q12" s="4">
        <f t="shared" si="13"/>
        <v>29900.291459757984</v>
      </c>
      <c r="R12" s="4">
        <f t="shared" si="0"/>
        <v>84929.67366441172</v>
      </c>
      <c r="S12" s="4">
        <f t="shared" si="1"/>
        <v>114829.96512416971</v>
      </c>
      <c r="T12" s="4">
        <f t="shared" si="14"/>
        <v>29900.291459757987</v>
      </c>
      <c r="U12" s="11">
        <f t="shared" si="15"/>
        <v>87353.91233722691</v>
      </c>
    </row>
    <row r="13" spans="1:21" ht="12.75">
      <c r="A13">
        <f t="shared" si="16"/>
        <v>3</v>
      </c>
      <c r="B13" s="12">
        <f t="shared" si="2"/>
        <v>0.04</v>
      </c>
      <c r="C13" s="11">
        <f t="shared" si="17"/>
        <v>120536.92640000001</v>
      </c>
      <c r="D13" s="11">
        <f t="shared" si="3"/>
        <v>98345.43000000001</v>
      </c>
      <c r="E13" s="11">
        <f t="shared" si="4"/>
        <v>100000</v>
      </c>
      <c r="F13" s="14">
        <v>0.03</v>
      </c>
      <c r="G13" s="5">
        <f t="shared" si="5"/>
        <v>0.9410939999999999</v>
      </c>
      <c r="H13" s="11">
        <f t="shared" si="6"/>
        <v>3508.3477797984</v>
      </c>
      <c r="I13" s="11">
        <f t="shared" si="7"/>
        <v>2910.6</v>
      </c>
      <c r="J13" s="11">
        <f t="shared" si="8"/>
        <v>597.7477797984002</v>
      </c>
      <c r="K13" s="11">
        <f t="shared" si="9"/>
        <v>531.3955996444015</v>
      </c>
      <c r="L13" s="4">
        <f t="shared" si="10"/>
        <v>83635.27100144794</v>
      </c>
      <c r="M13" s="7">
        <f t="shared" si="11"/>
        <v>0.8889963586709148</v>
      </c>
      <c r="N13" s="11">
        <f t="shared" si="12"/>
        <v>88767.47530336404</v>
      </c>
      <c r="O13" s="11"/>
      <c r="P13" s="4">
        <f>NPV($B$5,J14:$J$20)</f>
        <v>30498.555338349906</v>
      </c>
      <c r="Q13" s="4">
        <f t="shared" si="13"/>
        <v>30498.55533834991</v>
      </c>
      <c r="R13" s="4">
        <f t="shared" si="0"/>
        <v>88767.47530336404</v>
      </c>
      <c r="S13" s="4">
        <f t="shared" si="1"/>
        <v>119266.03064171395</v>
      </c>
      <c r="T13" s="4">
        <f t="shared" si="14"/>
        <v>30498.555338349906</v>
      </c>
      <c r="U13" s="11">
        <f t="shared" si="15"/>
        <v>92595.14707746053</v>
      </c>
    </row>
    <row r="14" spans="1:21" ht="12.75">
      <c r="A14">
        <f t="shared" si="16"/>
        <v>4</v>
      </c>
      <c r="B14" s="12">
        <f t="shared" si="2"/>
        <v>0.04</v>
      </c>
      <c r="C14" s="11">
        <f t="shared" si="17"/>
        <v>126178.05455552001</v>
      </c>
      <c r="D14" s="11">
        <f t="shared" si="3"/>
        <v>101295.79290000001</v>
      </c>
      <c r="E14" s="11">
        <f t="shared" si="4"/>
        <v>101295.79290000001</v>
      </c>
      <c r="F14" s="14">
        <v>0.04</v>
      </c>
      <c r="G14" s="5">
        <f t="shared" si="5"/>
        <v>0.9034502399999998</v>
      </c>
      <c r="H14" s="11">
        <f t="shared" si="6"/>
        <v>4749.816402954902</v>
      </c>
      <c r="I14" s="11">
        <f t="shared" si="7"/>
        <v>3813.154516937304</v>
      </c>
      <c r="J14" s="11">
        <f t="shared" si="8"/>
        <v>936.6618860175977</v>
      </c>
      <c r="K14" s="11">
        <f t="shared" si="9"/>
        <v>800.6625057456497</v>
      </c>
      <c r="L14" s="4">
        <f t="shared" si="10"/>
        <v>87448.42551838524</v>
      </c>
      <c r="M14" s="7">
        <f t="shared" si="11"/>
        <v>0.8548041910297257</v>
      </c>
      <c r="N14" s="11">
        <f t="shared" si="12"/>
        <v>92778.6995022351</v>
      </c>
      <c r="O14" s="11"/>
      <c r="P14" s="4">
        <f>NPV($B$5,J15:$J$20)</f>
        <v>30781.835665866307</v>
      </c>
      <c r="Q14" s="4">
        <f t="shared" si="13"/>
        <v>30781.835665866303</v>
      </c>
      <c r="R14" s="4">
        <f t="shared" si="0"/>
        <v>92778.6995022351</v>
      </c>
      <c r="S14" s="4">
        <f t="shared" si="1"/>
        <v>123560.53516810141</v>
      </c>
      <c r="T14" s="4">
        <f t="shared" si="14"/>
        <v>30781.835665866307</v>
      </c>
      <c r="U14" s="11">
        <f t="shared" si="15"/>
        <v>98150.85590210816</v>
      </c>
    </row>
    <row r="15" spans="1:21" ht="12.75">
      <c r="A15">
        <f t="shared" si="16"/>
        <v>5</v>
      </c>
      <c r="B15" s="12">
        <f t="shared" si="2"/>
        <v>0.04</v>
      </c>
      <c r="C15" s="11">
        <f t="shared" si="17"/>
        <v>132083.18750871834</v>
      </c>
      <c r="D15" s="11">
        <f t="shared" si="3"/>
        <v>104334.66668700002</v>
      </c>
      <c r="E15" s="11">
        <f t="shared" si="4"/>
        <v>104334.66668700002</v>
      </c>
      <c r="F15" s="14">
        <v>0.05</v>
      </c>
      <c r="G15" s="5">
        <f t="shared" si="5"/>
        <v>0.8582777279999998</v>
      </c>
      <c r="H15" s="11">
        <f t="shared" si="6"/>
        <v>5966.5293727358285</v>
      </c>
      <c r="I15" s="11">
        <f t="shared" si="7"/>
        <v>4713.058982934508</v>
      </c>
      <c r="J15" s="11">
        <f t="shared" si="8"/>
        <v>1253.4703898013204</v>
      </c>
      <c r="K15" s="11">
        <f t="shared" si="9"/>
        <v>1030.261290897916</v>
      </c>
      <c r="L15" s="4">
        <f t="shared" si="10"/>
        <v>92161.48450131975</v>
      </c>
      <c r="M15" s="7">
        <f t="shared" si="11"/>
        <v>0.8219271067593517</v>
      </c>
      <c r="N15" s="11">
        <f t="shared" si="12"/>
        <v>96971.18287873425</v>
      </c>
      <c r="O15" s="11"/>
      <c r="P15" s="4">
        <f>NPV($B$5,J16:$J$20)</f>
        <v>30759.638702699638</v>
      </c>
      <c r="Q15" s="4">
        <f t="shared" si="13"/>
        <v>30759.638702699638</v>
      </c>
      <c r="R15" s="4">
        <f t="shared" si="0"/>
        <v>96971.18287873425</v>
      </c>
      <c r="S15" s="4">
        <f t="shared" si="1"/>
        <v>127730.82158143389</v>
      </c>
      <c r="T15" s="4">
        <f t="shared" si="14"/>
        <v>30759.638702699638</v>
      </c>
      <c r="U15" s="11">
        <f t="shared" si="15"/>
        <v>104039.90725623466</v>
      </c>
    </row>
    <row r="16" spans="1:21" ht="12.75">
      <c r="A16">
        <f t="shared" si="16"/>
        <v>6</v>
      </c>
      <c r="B16" s="12">
        <f t="shared" si="2"/>
        <v>0.04</v>
      </c>
      <c r="C16" s="11">
        <f t="shared" si="17"/>
        <v>138264.68068412636</v>
      </c>
      <c r="D16" s="11">
        <f t="shared" si="3"/>
        <v>107464.70668761003</v>
      </c>
      <c r="E16" s="11">
        <f t="shared" si="4"/>
        <v>107464.70668761003</v>
      </c>
      <c r="F16" s="14">
        <v>0.06</v>
      </c>
      <c r="G16" s="5">
        <f t="shared" si="5"/>
        <v>0.8067810643199997</v>
      </c>
      <c r="H16" s="11">
        <f t="shared" si="6"/>
        <v>7120.169760013046</v>
      </c>
      <c r="I16" s="11">
        <f t="shared" si="7"/>
        <v>5534.0738577616985</v>
      </c>
      <c r="J16" s="11">
        <f t="shared" si="8"/>
        <v>1586.095902251347</v>
      </c>
      <c r="K16" s="11">
        <f t="shared" si="9"/>
        <v>1253.5146307503012</v>
      </c>
      <c r="L16" s="4">
        <f t="shared" si="10"/>
        <v>97695.55835908145</v>
      </c>
      <c r="M16" s="7">
        <f t="shared" si="11"/>
        <v>0.7903145257301458</v>
      </c>
      <c r="N16" s="11">
        <f t="shared" si="12"/>
        <v>101353.11617160993</v>
      </c>
      <c r="O16" s="11"/>
      <c r="P16" s="4">
        <f>NPV($B$5,J17:$J$20)</f>
        <v>30403.928348556285</v>
      </c>
      <c r="Q16" s="4">
        <f t="shared" si="13"/>
        <v>30403.928348556277</v>
      </c>
      <c r="R16" s="4">
        <f t="shared" si="0"/>
        <v>101353.11617160993</v>
      </c>
      <c r="S16" s="4">
        <f t="shared" si="1"/>
        <v>131757.0445201662</v>
      </c>
      <c r="T16" s="4">
        <f t="shared" si="14"/>
        <v>30403.928348556285</v>
      </c>
      <c r="U16" s="11">
        <f t="shared" si="15"/>
        <v>110282.30169160874</v>
      </c>
    </row>
    <row r="17" spans="1:21" ht="12.75">
      <c r="A17">
        <f t="shared" si="16"/>
        <v>7</v>
      </c>
      <c r="B17" s="12">
        <f t="shared" si="2"/>
        <v>0.04</v>
      </c>
      <c r="C17" s="11">
        <f t="shared" si="17"/>
        <v>144735.46774014347</v>
      </c>
      <c r="D17" s="11">
        <f t="shared" si="3"/>
        <v>110688.64788823834</v>
      </c>
      <c r="E17" s="11">
        <f t="shared" si="4"/>
        <v>110688.64788823834</v>
      </c>
      <c r="F17" s="14">
        <v>0.07</v>
      </c>
      <c r="G17" s="5">
        <f t="shared" si="5"/>
        <v>0.7503063898175997</v>
      </c>
      <c r="H17" s="11">
        <f t="shared" si="6"/>
        <v>8173.888429577217</v>
      </c>
      <c r="I17" s="11">
        <f t="shared" si="7"/>
        <v>6251.105360599024</v>
      </c>
      <c r="J17" s="11">
        <f t="shared" si="8"/>
        <v>1922.7830689781931</v>
      </c>
      <c r="K17" s="11">
        <f t="shared" si="9"/>
        <v>1461.1571050398607</v>
      </c>
      <c r="L17" s="4">
        <f t="shared" si="10"/>
        <v>103946.66371968048</v>
      </c>
      <c r="M17" s="7">
        <f t="shared" si="11"/>
        <v>0.7599178132020633</v>
      </c>
      <c r="N17" s="11">
        <f t="shared" si="12"/>
        <v>105933.06024266931</v>
      </c>
      <c r="O17" s="11"/>
      <c r="P17" s="4">
        <f>NPV($B$5,J18:$J$20)</f>
        <v>29697.30241352034</v>
      </c>
      <c r="Q17" s="4">
        <f t="shared" si="13"/>
        <v>29697.302413520345</v>
      </c>
      <c r="R17" s="4">
        <f t="shared" si="0"/>
        <v>105933.06024266931</v>
      </c>
      <c r="S17" s="4">
        <f t="shared" si="1"/>
        <v>135630.36265618965</v>
      </c>
      <c r="T17" s="4">
        <f t="shared" si="14"/>
        <v>29697.30241352034</v>
      </c>
      <c r="U17" s="11">
        <f t="shared" si="15"/>
        <v>116899.23979310527</v>
      </c>
    </row>
    <row r="18" spans="1:21" ht="12.75">
      <c r="A18">
        <f t="shared" si="16"/>
        <v>8</v>
      </c>
      <c r="B18" s="12">
        <f t="shared" si="2"/>
        <v>0.04</v>
      </c>
      <c r="C18" s="11">
        <f t="shared" si="17"/>
        <v>151509.0876303822</v>
      </c>
      <c r="D18" s="11">
        <f t="shared" si="3"/>
        <v>114009.30732488549</v>
      </c>
      <c r="E18" s="11">
        <f t="shared" si="4"/>
        <v>114009.30732488549</v>
      </c>
      <c r="F18" s="14">
        <v>0.08</v>
      </c>
      <c r="G18" s="5">
        <f t="shared" si="5"/>
        <v>0.6902818786321917</v>
      </c>
      <c r="H18" s="11">
        <f t="shared" si="6"/>
        <v>9094.258925160833</v>
      </c>
      <c r="I18" s="11">
        <f t="shared" si="7"/>
        <v>6843.352942763205</v>
      </c>
      <c r="J18" s="11">
        <f t="shared" si="8"/>
        <v>2250.9059823976286</v>
      </c>
      <c r="K18" s="11">
        <f t="shared" si="9"/>
        <v>1644.7149537183152</v>
      </c>
      <c r="L18" s="4">
        <f t="shared" si="10"/>
        <v>110790.01666244368</v>
      </c>
      <c r="M18" s="7">
        <f t="shared" si="11"/>
        <v>0.7306902050019839</v>
      </c>
      <c r="N18" s="11">
        <f t="shared" si="12"/>
        <v>110719.96280189708</v>
      </c>
      <c r="O18" s="11"/>
      <c r="P18" s="4">
        <f>NPV($B$5,J19:$J$20)</f>
        <v>28634.288527663528</v>
      </c>
      <c r="Q18" s="4">
        <f t="shared" si="13"/>
        <v>28634.288527663528</v>
      </c>
      <c r="R18" s="4">
        <f t="shared" si="0"/>
        <v>110719.96280189708</v>
      </c>
      <c r="S18" s="4">
        <f t="shared" si="1"/>
        <v>139354.25132956062</v>
      </c>
      <c r="T18" s="4">
        <f t="shared" si="14"/>
        <v>28634.288527663528</v>
      </c>
      <c r="U18" s="11">
        <f t="shared" si="15"/>
        <v>123913.19418069159</v>
      </c>
    </row>
    <row r="19" spans="1:21" ht="12.75">
      <c r="A19">
        <f t="shared" si="16"/>
        <v>9</v>
      </c>
      <c r="B19" s="12">
        <f t="shared" si="2"/>
        <v>0.04</v>
      </c>
      <c r="C19" s="11">
        <f t="shared" si="17"/>
        <v>158599.71293148407</v>
      </c>
      <c r="D19" s="11">
        <f t="shared" si="3"/>
        <v>117429.58654463205</v>
      </c>
      <c r="E19" s="11">
        <f t="shared" si="4"/>
        <v>117429.58654463205</v>
      </c>
      <c r="F19" s="14">
        <v>0.09</v>
      </c>
      <c r="G19" s="5">
        <f t="shared" si="5"/>
        <v>0.6281565095552945</v>
      </c>
      <c r="H19" s="11">
        <f t="shared" si="6"/>
        <v>9853.0657013584</v>
      </c>
      <c r="I19" s="11">
        <f t="shared" si="7"/>
        <v>7295.356404632713</v>
      </c>
      <c r="J19" s="11">
        <f t="shared" si="8"/>
        <v>2557.7092967256876</v>
      </c>
      <c r="K19" s="11">
        <f t="shared" si="9"/>
        <v>1797.0126253461276</v>
      </c>
      <c r="L19" s="4">
        <f t="shared" si="10"/>
        <v>118085.37306707639</v>
      </c>
      <c r="M19" s="7">
        <f t="shared" si="11"/>
        <v>0.7025867355788307</v>
      </c>
      <c r="N19" s="11">
        <f t="shared" si="12"/>
        <v>115723.17588834884</v>
      </c>
      <c r="O19" s="11"/>
      <c r="P19" s="4">
        <f>NPV($B$5,J20:$J$20)</f>
        <v>27221.950772044383</v>
      </c>
      <c r="Q19" s="4">
        <f t="shared" si="13"/>
        <v>27221.950772044383</v>
      </c>
      <c r="R19" s="4">
        <f t="shared" si="0"/>
        <v>115723.17588834884</v>
      </c>
      <c r="S19" s="4">
        <f t="shared" si="1"/>
        <v>142945.12666039323</v>
      </c>
      <c r="T19" s="4">
        <f t="shared" si="14"/>
        <v>27221.950772044383</v>
      </c>
      <c r="U19" s="11">
        <f t="shared" si="15"/>
        <v>131347.9858315331</v>
      </c>
    </row>
    <row r="20" spans="1:21" ht="12.75">
      <c r="A20">
        <f t="shared" si="16"/>
        <v>10</v>
      </c>
      <c r="B20" s="12">
        <f t="shared" si="2"/>
        <v>0.04</v>
      </c>
      <c r="C20" s="11">
        <f t="shared" si="17"/>
        <v>166022.17949667753</v>
      </c>
      <c r="D20" s="11">
        <f t="shared" si="3"/>
        <v>120952.47414097101</v>
      </c>
      <c r="E20" s="11">
        <f t="shared" si="4"/>
        <v>120952.47414097101</v>
      </c>
      <c r="F20" s="14">
        <v>1</v>
      </c>
      <c r="G20" s="5">
        <f t="shared" si="5"/>
        <v>0</v>
      </c>
      <c r="H20" s="11">
        <f t="shared" si="6"/>
        <v>104287.91278139553</v>
      </c>
      <c r="I20" s="11">
        <f t="shared" si="7"/>
        <v>75977.08397846937</v>
      </c>
      <c r="J20" s="11">
        <f t="shared" si="8"/>
        <v>28310.82880292616</v>
      </c>
      <c r="K20" s="11">
        <f t="shared" si="9"/>
        <v>19125.781529018295</v>
      </c>
      <c r="L20" s="4">
        <f t="shared" si="10"/>
        <v>194062.45704554574</v>
      </c>
      <c r="M20" s="7">
        <f t="shared" si="11"/>
        <v>0.6755641688257987</v>
      </c>
      <c r="N20" s="11">
        <f t="shared" si="12"/>
        <v>120952.47414097094</v>
      </c>
      <c r="O20" s="11"/>
      <c r="P20" s="4"/>
      <c r="Q20" s="4"/>
      <c r="R20" s="4">
        <f t="shared" si="0"/>
        <v>120952.47414097094</v>
      </c>
      <c r="S20" s="4">
        <f t="shared" si="1"/>
        <v>120952.47414097094</v>
      </c>
      <c r="T20" s="4">
        <f t="shared" si="14"/>
        <v>0</v>
      </c>
      <c r="U20" s="11">
        <f t="shared" si="15"/>
        <v>139228.86498142508</v>
      </c>
    </row>
    <row r="21" spans="8:15" ht="12.75">
      <c r="H21" s="11"/>
      <c r="I21" s="11"/>
      <c r="J21" s="11"/>
      <c r="K21" s="11"/>
      <c r="N21" s="11"/>
      <c r="O21" s="11"/>
    </row>
    <row r="22" spans="3:15" ht="12.75">
      <c r="C22" s="15"/>
      <c r="H22" s="11">
        <f>SUM(H11:H20)</f>
        <v>156133.91955299414</v>
      </c>
      <c r="I22" s="11">
        <f>SUM(I11:I20)</f>
        <v>116317.78604409783</v>
      </c>
      <c r="J22" s="11">
        <f>SUM(J11:J20)</f>
        <v>39816.13350889634</v>
      </c>
      <c r="K22" s="11">
        <f>SUM(K11:K20)</f>
        <v>28017.956601107613</v>
      </c>
      <c r="N22" s="11"/>
      <c r="O22" s="11"/>
    </row>
    <row r="24" ht="12.75">
      <c r="A24" t="s">
        <v>26</v>
      </c>
    </row>
    <row r="25" ht="12.75">
      <c r="A25" t="s">
        <v>27</v>
      </c>
    </row>
    <row r="27" spans="2:9" ht="12.75">
      <c r="B27" t="s">
        <v>28</v>
      </c>
      <c r="C27" s="4">
        <f>K3+K4</f>
        <v>100000</v>
      </c>
      <c r="D27" t="s">
        <v>30</v>
      </c>
      <c r="E27" s="4">
        <f>U11+T11</f>
        <v>111448.02612668672</v>
      </c>
      <c r="F27" t="s">
        <v>32</v>
      </c>
      <c r="G27" s="4">
        <f>E27-C27-(E28-C28)</f>
        <v>1151.5544830100553</v>
      </c>
      <c r="H27" t="s">
        <v>33</v>
      </c>
      <c r="I27">
        <v>135</v>
      </c>
    </row>
    <row r="28" spans="2:9" ht="12.75">
      <c r="B28" t="s">
        <v>29</v>
      </c>
      <c r="C28" s="4">
        <f>C10</f>
        <v>100000</v>
      </c>
      <c r="D28" t="s">
        <v>31</v>
      </c>
      <c r="E28" s="4">
        <f>S11</f>
        <v>110296.47164367666</v>
      </c>
      <c r="H28" t="s">
        <v>38</v>
      </c>
      <c r="I28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9:AG49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9.28125" style="0" bestFit="1" customWidth="1"/>
    <col min="3" max="3" width="10.28125" style="0" bestFit="1" customWidth="1"/>
    <col min="4" max="4" width="9.28125" style="0" bestFit="1" customWidth="1"/>
  </cols>
  <sheetData>
    <row r="9" ht="12.75">
      <c r="D9">
        <v>0.0417</v>
      </c>
    </row>
    <row r="11" spans="1:33" ht="12.75">
      <c r="A11">
        <v>1</v>
      </c>
      <c r="B11" s="3">
        <v>0</v>
      </c>
      <c r="C11" s="3">
        <v>90115</v>
      </c>
      <c r="D11" s="3">
        <f>C11*$D$9</f>
        <v>3757.7955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3" ht="12.75">
      <c r="A12">
        <f>A11+1</f>
        <v>2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</row>
    <row r="13" spans="1:33" ht="12.75">
      <c r="A13">
        <f>A12+1</f>
        <v>3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</row>
    <row r="14" spans="1:33" ht="12.75">
      <c r="A14">
        <f>A13+1</f>
        <v>4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</row>
    <row r="15" spans="1:33" ht="12.75">
      <c r="A15">
        <f>A14+1</f>
        <v>5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</row>
    <row r="16" spans="1:33" ht="12.75">
      <c r="A16">
        <f>A15+1</f>
        <v>6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</row>
    <row r="17" spans="2:33" ht="12.75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</row>
    <row r="18" spans="2:33" ht="12.7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</row>
    <row r="19" spans="2:33" ht="12.75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</row>
    <row r="20" spans="2:33" ht="12.75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</row>
    <row r="21" spans="2:33" ht="12.75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</row>
    <row r="22" spans="2:33" ht="12.75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</row>
    <row r="23" spans="2:33" ht="12.75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</row>
    <row r="24" spans="2:33" ht="12.75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</row>
    <row r="25" spans="2:33" ht="12.7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</row>
    <row r="26" spans="2:33" ht="12.7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</row>
    <row r="27" spans="2:33" ht="12.75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</row>
    <row r="28" spans="2:33" ht="12.7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</row>
    <row r="29" spans="2:33" ht="12.75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</row>
    <row r="30" spans="2:33" ht="12.7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</row>
    <row r="31" spans="2:33" ht="12.7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</row>
    <row r="32" spans="2:33" ht="12.75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</row>
    <row r="33" spans="2:33" ht="12.7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</row>
    <row r="34" spans="2:33" ht="12.7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</row>
    <row r="35" spans="2:33" ht="12.7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</row>
    <row r="36" spans="2:33" ht="12.75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</row>
    <row r="37" spans="2:33" ht="12.7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</row>
    <row r="38" spans="2:33" ht="12.7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</row>
    <row r="39" spans="2:33" ht="12.7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</row>
    <row r="40" spans="2:33" ht="12.7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</row>
    <row r="41" spans="2:33" ht="12.7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</row>
    <row r="42" spans="2:33" ht="12.7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</row>
    <row r="43" spans="2:33" ht="12.7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</row>
    <row r="44" spans="2:33" ht="12.7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</row>
    <row r="45" spans="2:33" ht="12.7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</row>
    <row r="46" spans="2:33" ht="12.7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</row>
    <row r="47" spans="2:33" ht="12.7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</row>
    <row r="48" spans="2:33" ht="12.7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</row>
    <row r="49" spans="2:33" ht="12.7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Deloitte &amp; Touche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Morton, Jason</dc:creator>
  <cp:keywords/>
  <dc:description/>
  <cp:lastModifiedBy>Matson, Patricia</cp:lastModifiedBy>
  <dcterms:created xsi:type="dcterms:W3CDTF">2006-02-16T21:28:12Z</dcterms:created>
  <dcterms:modified xsi:type="dcterms:W3CDTF">2009-08-31T03:40:48Z</dcterms:modified>
  <cp:category/>
  <cp:version/>
  <cp:contentType/>
  <cp:contentStatus/>
</cp:coreProperties>
</file>