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295" yWindow="3135" windowWidth="19665" windowHeight="13740" tabRatio="500" activeTab="0"/>
  </bookViews>
  <sheets>
    <sheet name="Intro" sheetId="1" r:id="rId1"/>
    <sheet name="Model Input Page" sheetId="2" r:id="rId2"/>
    <sheet name="Output" sheetId="3" r:id="rId3"/>
    <sheet name="Share Chart" sheetId="4" r:id="rId4"/>
    <sheet name="Health$ Chart" sheetId="5" r:id="rId5"/>
    <sheet name="Projection Matrix" sheetId="6" r:id="rId6"/>
  </sheets>
  <definedNames/>
  <calcPr fullCalcOnLoad="1"/>
</workbook>
</file>

<file path=xl/sharedStrings.xml><?xml version="1.0" encoding="utf-8"?>
<sst xmlns="http://schemas.openxmlformats.org/spreadsheetml/2006/main" count="214" uniqueCount="115">
  <si>
    <t>Note: While typically the same growth assumptions would be used throughout 2016-2100,</t>
  </si>
  <si>
    <t xml:space="preserve">       they can be changed for sub-periods 2026-2035 and 2036-2100 as has been done above.</t>
  </si>
  <si>
    <r>
      <t>2015</t>
    </r>
    <r>
      <rPr>
        <b/>
        <sz val="8"/>
        <color indexed="12"/>
        <rFont val="Arial Narrow"/>
        <family val="2"/>
      </rPr>
      <t xml:space="preserve"> Health Share % (user input): </t>
    </r>
  </si>
  <si>
    <t>Note: Cell i29 is the annual % growth in Medical costs generated by the model for 2015.</t>
  </si>
  <si>
    <t>User Input for Years 2016+</t>
  </si>
  <si>
    <t>Low (-)</t>
  </si>
  <si>
    <t>High(+)</t>
  </si>
  <si>
    <t>Low $</t>
  </si>
  <si>
    <t>High$</t>
  </si>
  <si>
    <t>Long Term Medical Cost Trends</t>
  </si>
  <si>
    <t>Projection Matrix</t>
  </si>
  <si>
    <t>limit year</t>
  </si>
  <si>
    <t>Tech+</t>
  </si>
  <si>
    <t>Health Care $</t>
  </si>
  <si>
    <t>Input Parameters</t>
  </si>
  <si>
    <t xml:space="preserve">The model will be updated annually to reflect actual healthcare cost experience. </t>
  </si>
  <si>
    <t>2026-35</t>
  </si>
  <si>
    <t>2036+</t>
  </si>
  <si>
    <t xml:space="preserve"> 2026 - 2035</t>
  </si>
  <si>
    <t>years 2036+</t>
  </si>
  <si>
    <t xml:space="preserve">Implied </t>
  </si>
  <si>
    <t xml:space="preserve">Term </t>
  </si>
  <si>
    <t>Trend</t>
  </si>
  <si>
    <t>per capita</t>
  </si>
  <si>
    <t>Rates</t>
  </si>
  <si>
    <t>Years</t>
  </si>
  <si>
    <t>cost</t>
  </si>
  <si>
    <t>(user input)</t>
  </si>
  <si>
    <r>
      <t xml:space="preserve">Real GDP  </t>
    </r>
    <r>
      <rPr>
        <u val="single"/>
        <sz val="10"/>
        <rFont val="Arial Narrow"/>
        <family val="2"/>
      </rPr>
      <t xml:space="preserve"> (per capita)</t>
    </r>
  </si>
  <si>
    <t>(CMS)</t>
  </si>
  <si>
    <t>Baseline Assumption:</t>
  </si>
  <si>
    <t xml:space="preserve">Suggested Range: </t>
  </si>
  <si>
    <t>STEP 3 - INPUT STANDARD GROWTH FACTORS ASSUMPTIONS</t>
  </si>
  <si>
    <r>
      <t>inflation</t>
    </r>
    <r>
      <rPr>
        <u val="single"/>
        <sz val="10"/>
        <rFont val="Arial Narrow"/>
        <family val="2"/>
      </rPr>
      <t xml:space="preserve">  (cpi)</t>
    </r>
  </si>
  <si>
    <r>
      <t xml:space="preserve">real GDP  </t>
    </r>
    <r>
      <rPr>
        <u val="single"/>
        <sz val="10"/>
        <rFont val="Arial Narrow"/>
        <family val="2"/>
      </rPr>
      <t xml:space="preserve"> (per capita)</t>
    </r>
  </si>
  <si>
    <r>
      <t xml:space="preserve">Income </t>
    </r>
    <r>
      <rPr>
        <u val="single"/>
        <sz val="10"/>
        <rFont val="Arial Narrow"/>
        <family val="2"/>
      </rPr>
      <t>Multiplier</t>
    </r>
  </si>
  <si>
    <r>
      <t xml:space="preserve">Taste, </t>
    </r>
    <r>
      <rPr>
        <u val="single"/>
        <sz val="10"/>
        <rFont val="Arial Narrow"/>
        <family val="2"/>
      </rPr>
      <t>Technology</t>
    </r>
  </si>
  <si>
    <t>Aggregate Factor</t>
  </si>
  <si>
    <t>Baseline Assumptions:</t>
  </si>
  <si>
    <t>Suggested range:</t>
  </si>
  <si>
    <t>(1.8 - 5.5)</t>
  </si>
  <si>
    <t>(0.8 - 3.0)</t>
  </si>
  <si>
    <t>(0.90 - 1.70)</t>
  </si>
  <si>
    <t>(0.0 - 2.5)</t>
  </si>
  <si>
    <t>The medical cost % for future years depends upon "share" and thus will decline over time,</t>
  </si>
  <si>
    <t>and vary as the assumptions are changed.</t>
  </si>
  <si>
    <t>STEP 4 (optional) - INPUT DESIRED CAPACITY CONSTRAINTS ASSUMPTIONS</t>
  </si>
  <si>
    <t>User</t>
  </si>
  <si>
    <t>Input</t>
  </si>
  <si>
    <t>Assumption</t>
  </si>
  <si>
    <t xml:space="preserve">   Health Share of GDP above which cost growth is assumed to meet resistance:</t>
  </si>
  <si>
    <t xml:space="preserve">         The SOA Long Term Healthcare Cost Trends Resource Model has been constructed as an analytic aid for projection of the expected growth rates in medical premiums and expenditures from 2016 to 2100; and particularly in the estimation of reportable liabilities for retiree health benefits as specified under FAS 106 and GASB statement 45.  The model asks the user to input estimated baseline costs for year 2015 (set at a default value of $10,000 when the file is opened).  Using this value as the base cost, the model projects per-person expenditures and growth rates through 2100 using a set of equations and assumptions developed by the author with the assistance of an SOA working group.  If desired, the user can then use the model input cells to specify alternative assumptions regarding responsiveness to external trends, income growth, and other factors to arrive at alternative projections.  The model provisionally uses default short term annual projected by CMS for years 2010-2015 (3% to 6%) but users may want to input their own estimates for these model years. </t>
  </si>
  <si>
    <t>(16.5% - 19.5%)</t>
  </si>
  <si>
    <t>Assumptions</t>
  </si>
  <si>
    <t xml:space="preserve">Note: Short Term rates do not  </t>
  </si>
  <si>
    <t xml:space="preserve">impact long term projected rates. </t>
  </si>
  <si>
    <r>
      <t>Inflation</t>
    </r>
    <r>
      <rPr>
        <u val="single"/>
        <sz val="10"/>
        <rFont val="Arial Narrow"/>
        <family val="2"/>
      </rPr>
      <t xml:space="preserve">  (cpi)</t>
    </r>
  </si>
  <si>
    <t xml:space="preserve">   Year after which growth in medical costs is limited to rate of growth in GDP:</t>
  </si>
  <si>
    <t xml:space="preserve">Based on the input entries above: </t>
  </si>
  <si>
    <t>Results</t>
  </si>
  <si>
    <t xml:space="preserve">Projected per capita medical costs in 2025 would be  </t>
  </si>
  <si>
    <t xml:space="preserve"> --implying a health share of GDP in 2025 of</t>
  </si>
  <si>
    <t>STEP 5 (optional) - INPUT OPTIONAL REFINED GROWTH FACTORS ASSUMPTIONS</t>
  </si>
  <si>
    <t>Inflation (cpi)</t>
  </si>
  <si>
    <t>GDP</t>
  </si>
  <si>
    <t>Multiplier</t>
  </si>
  <si>
    <t>Restriction Assumptions</t>
  </si>
  <si>
    <t>Share %</t>
  </si>
  <si>
    <t>Per Capita Income</t>
  </si>
  <si>
    <t>Growth%</t>
  </si>
  <si>
    <t>Baseline Share</t>
  </si>
  <si>
    <t xml:space="preserve"> Baseline Healthcare $</t>
  </si>
  <si>
    <t>none</t>
  </si>
  <si>
    <t xml:space="preserve">Related material is available on the SOA web site providing details of model construction and documentation, illustrative examples, references, a review of research in the area and a user guide with specific guidance for actuaries written by the Project Oversight Group that developed the model. </t>
  </si>
  <si>
    <t xml:space="preserve">      I.    Technical Documentation of the Model, Formulas and Input Values.</t>
  </si>
  <si>
    <t xml:space="preserve">      II.   FAQ – Questions and directions about how to use and evaluate the model. </t>
  </si>
  <si>
    <t xml:space="preserve">      III.  Review of the Literature, References and Notes.</t>
  </si>
  <si>
    <t xml:space="preserve">      IV. Commentary on Practical Issues for Actuaries (written by SOA Project Oversight Group)</t>
  </si>
  <si>
    <t>year limit</t>
  </si>
  <si>
    <t xml:space="preserve">  ann% 1980-2005</t>
  </si>
  <si>
    <t>Annual Percentage Growth Rate in costs per person</t>
  </si>
  <si>
    <t>Year</t>
  </si>
  <si>
    <t>Baseline</t>
  </si>
  <si>
    <t>User Input</t>
  </si>
  <si>
    <t>Source</t>
  </si>
  <si>
    <t>historical annual %</t>
  </si>
  <si>
    <t>growth in NHE</t>
  </si>
  <si>
    <t>STEP 1 - INPUT SHORT TERM RATES</t>
  </si>
  <si>
    <t xml:space="preserve">Short </t>
  </si>
  <si>
    <t xml:space="preserve">STEP 2 - INPUT 2015 BASELINE COSTS: % GDP SHARE AND PER CAPITA MEDICAL COST </t>
  </si>
  <si>
    <t xml:space="preserve">       " "</t>
  </si>
  <si>
    <t>{ estimates, not yet }</t>
  </si>
  <si>
    <t>{ reported by CMS }</t>
  </si>
  <si>
    <t>% growth  - -</t>
  </si>
  <si>
    <t>user estimate</t>
  </si>
  <si>
    <t>% growth - - Model Generated</t>
  </si>
  <si>
    <t xml:space="preserve">    "  "</t>
  </si>
  <si>
    <t>Note: Raise {2015} cost up or down in [Cell G17] to make</t>
  </si>
  <si>
    <t>2011 costs in [Cell G10]  match desired value.</t>
  </si>
  <si>
    <t>2015 per Capita Medical Cost (user input)</t>
  </si>
  <si>
    <t xml:space="preserve">        In this model cost controls can be simulated in two ways: by specifying a Share Restriction Point, a percentage of GDP represented by healthcare and above which the current trends will be reduced; or by specifying a Limit Year after which the rate of growth in health care costs will be reduced to match the rate of growth in per capita income (as both CMS and CBO assume).</t>
  </si>
  <si>
    <t>dotted Hi - - - - - - - - Lo bound lines</t>
  </si>
  <si>
    <t xml:space="preserve">General input instructions: To change baseline default assumptions, </t>
  </si>
  <si>
    <t xml:space="preserve"> input user-desired values in the shaded cells with bold blue numbers</t>
  </si>
  <si>
    <t xml:space="preserve">     Why have medical costs continued to rise? Primarily because people have more disposable income, and choose to spend more of it on health care -- especially on the latest and most promising technologies.  These spending choices are mainly indirect and often far removed from individual consumers because they are made and implemented through employee benefit managers, federal state and local budget committees, and broad legislation that impacts spending.  Almost everyone agrees that health spending increases cannot continue to outpace the growth in personal income incessantly. Consequently, there must be some ultimate limits on how much is spent on healthcare compared to other costs. Yet, so far the willingness to spend on healthcare has outpaced the desire and implementation of cost controls.</t>
  </si>
  <si>
    <t xml:space="preserve"> </t>
  </si>
  <si>
    <t>Share restriction</t>
  </si>
  <si>
    <t xml:space="preserve">The model was last updated: 03/15/2012 - Created by Professor Thomas Getzen, iHEA and Temple Univ. </t>
  </si>
  <si>
    <t>SOA Long Term Healthcare Cost Trends Resource Model  v12.2</t>
  </si>
  <si>
    <t>SOA Long Term Healthcare Cost Trends Resource Model v12.2</t>
  </si>
  <si>
    <r>
      <t xml:space="preserve">SOA-Getzen Model 12.2 </t>
    </r>
    <r>
      <rPr>
        <b/>
        <sz val="11"/>
        <color indexed="12"/>
        <rFont val="Arial"/>
        <family val="2"/>
      </rPr>
      <t>(Mar 2012</t>
    </r>
    <r>
      <rPr>
        <b/>
        <sz val="11"/>
        <color indexed="16"/>
        <rFont val="Arial"/>
        <family val="2"/>
      </rPr>
      <t>): Projection Matrix</t>
    </r>
  </si>
  <si>
    <t>Mar 15  2012</t>
  </si>
  <si>
    <t xml:space="preserve">SOA-Getzen Model v12.2 (Mar. 2012): Baseline Default Assumptions and User Inputs </t>
  </si>
  <si>
    <t>2016-25</t>
  </si>
  <si>
    <t>S.O.A.-Getzen Model v.12.2</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</si>
</sst>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00"/>
    <numFmt numFmtId="168" formatCode=".0000"/>
    <numFmt numFmtId="169" formatCode="_(&quot;$&quot;* #,##0_);_(&quot;$&quot;* \(#,##0\);_(&quot;$&quot;* &quot;-&quot;??_);_(@_)"/>
    <numFmt numFmtId="170" formatCode=".00000"/>
    <numFmt numFmtId="171" formatCode="0.000%"/>
    <numFmt numFmtId="172" formatCode="&quot;$&quot;#,##0"/>
  </numFmts>
  <fonts count="163">
    <font>
      <sz val="10"/>
      <name val="Verdana"/>
      <family val="0"/>
    </font>
    <font>
      <sz val="11"/>
      <color indexed="8"/>
      <name val="Calibri"/>
      <family val="2"/>
    </font>
    <font>
      <sz val="10"/>
      <name val="Arial"/>
      <family val="0"/>
    </font>
    <font>
      <sz val="8"/>
      <name val="Verdana"/>
      <family val="2"/>
    </font>
    <font>
      <sz val="12"/>
      <name val="Arial"/>
      <family val="2"/>
    </font>
    <font>
      <b/>
      <sz val="12"/>
      <color indexed="60"/>
      <name val="Arial"/>
      <family val="2"/>
    </font>
    <font>
      <sz val="8"/>
      <name val="Arial Narrow"/>
      <family val="2"/>
    </font>
    <font>
      <sz val="9"/>
      <name val="Arial Narrow"/>
      <family val="2"/>
    </font>
    <font>
      <sz val="10"/>
      <color indexed="12"/>
      <name val="Arial"/>
      <family val="2"/>
    </font>
    <font>
      <sz val="8"/>
      <name val="Arial"/>
      <family val="2"/>
    </font>
    <font>
      <sz val="10"/>
      <name val="Rockwell"/>
      <family val="1"/>
    </font>
    <font>
      <b/>
      <sz val="9"/>
      <name val="Arial"/>
      <family val="2"/>
    </font>
    <font>
      <sz val="8"/>
      <name val="Rockwell"/>
      <family val="1"/>
    </font>
    <font>
      <sz val="8"/>
      <name val="Times New Roman"/>
      <family val="1"/>
    </font>
    <font>
      <b/>
      <sz val="8"/>
      <color indexed="23"/>
      <name val="Arial Narrow"/>
      <family val="2"/>
    </font>
    <font>
      <b/>
      <sz val="8"/>
      <color indexed="23"/>
      <name val="Arial"/>
      <family val="2"/>
    </font>
    <font>
      <i/>
      <sz val="9"/>
      <color indexed="23"/>
      <name val="Times New Roman"/>
      <family val="1"/>
    </font>
    <font>
      <sz val="9"/>
      <color indexed="23"/>
      <name val="Times New Roman"/>
      <family val="1"/>
    </font>
    <font>
      <sz val="9"/>
      <name val="Times New Roman"/>
      <family val="1"/>
    </font>
    <font>
      <b/>
      <sz val="10"/>
      <name val="Arial Narrow"/>
      <family val="2"/>
    </font>
    <font>
      <b/>
      <sz val="8"/>
      <name val="Arial"/>
      <family val="2"/>
    </font>
    <font>
      <b/>
      <sz val="11"/>
      <color indexed="16"/>
      <name val="Arial"/>
      <family val="2"/>
    </font>
    <font>
      <b/>
      <sz val="11"/>
      <color indexed="12"/>
      <name val="Arial"/>
      <family val="2"/>
    </font>
    <font>
      <sz val="11"/>
      <name val="Arial"/>
      <family val="2"/>
    </font>
    <font>
      <u val="single"/>
      <sz val="10"/>
      <name val="Times New Roman"/>
      <family val="1"/>
    </font>
    <font>
      <b/>
      <u val="single"/>
      <sz val="10"/>
      <name val="Times New Roman"/>
      <family val="1"/>
    </font>
    <font>
      <i/>
      <sz val="10"/>
      <name val="Times New Roman"/>
      <family val="1"/>
    </font>
    <font>
      <i/>
      <sz val="9"/>
      <name val="Times New Roman"/>
      <family val="1"/>
    </font>
    <font>
      <b/>
      <sz val="10"/>
      <color indexed="60"/>
      <name val="Arial Narrow"/>
      <family val="2"/>
    </font>
    <font>
      <i/>
      <sz val="8"/>
      <color indexed="23"/>
      <name val="Times New Roman"/>
      <family val="1"/>
    </font>
    <font>
      <b/>
      <i/>
      <sz val="8"/>
      <name val="Times New Roman"/>
      <family val="1"/>
    </font>
    <font>
      <b/>
      <sz val="10"/>
      <name val="Rockwell"/>
      <family val="1"/>
    </font>
    <font>
      <b/>
      <i/>
      <sz val="10"/>
      <color indexed="12"/>
      <name val="Arial"/>
      <family val="2"/>
    </font>
    <font>
      <b/>
      <sz val="10"/>
      <color indexed="12"/>
      <name val="Arial"/>
      <family val="2"/>
    </font>
    <font>
      <b/>
      <sz val="8"/>
      <color indexed="12"/>
      <name val="Times New Roman"/>
      <family val="1"/>
    </font>
    <font>
      <b/>
      <i/>
      <sz val="10"/>
      <color indexed="16"/>
      <name val="Times New Roman"/>
      <family val="1"/>
    </font>
    <font>
      <b/>
      <u val="single"/>
      <sz val="9"/>
      <color indexed="16"/>
      <name val="Arial"/>
      <family val="2"/>
    </font>
    <font>
      <b/>
      <sz val="8"/>
      <color indexed="46"/>
      <name val="Arial"/>
      <family val="2"/>
    </font>
    <font>
      <b/>
      <i/>
      <u val="singleAccounting"/>
      <sz val="9"/>
      <color indexed="16"/>
      <name val="Times New Roman"/>
      <family val="1"/>
    </font>
    <font>
      <b/>
      <i/>
      <sz val="9"/>
      <color indexed="16"/>
      <name val="Times New Roman"/>
      <family val="1"/>
    </font>
    <font>
      <i/>
      <sz val="8"/>
      <color indexed="16"/>
      <name val="Times New Roman"/>
      <family val="1"/>
    </font>
    <font>
      <b/>
      <sz val="10"/>
      <color indexed="16"/>
      <name val="Times New Roman"/>
      <family val="1"/>
    </font>
    <font>
      <b/>
      <sz val="8"/>
      <color indexed="16"/>
      <name val="Arial"/>
      <family val="2"/>
    </font>
    <font>
      <b/>
      <sz val="12"/>
      <color indexed="16"/>
      <name val="Times New Roman"/>
      <family val="1"/>
    </font>
    <font>
      <b/>
      <u val="single"/>
      <sz val="10"/>
      <color indexed="16"/>
      <name val="Times New Roman"/>
      <family val="1"/>
    </font>
    <font>
      <sz val="10"/>
      <color indexed="16"/>
      <name val="Arial"/>
      <family val="2"/>
    </font>
    <font>
      <b/>
      <sz val="9"/>
      <color indexed="16"/>
      <name val="Times New Roman"/>
      <family val="1"/>
    </font>
    <font>
      <b/>
      <sz val="9"/>
      <color indexed="12"/>
      <name val="Arial"/>
      <family val="2"/>
    </font>
    <font>
      <i/>
      <sz val="8"/>
      <color indexed="17"/>
      <name val="Times New Roman"/>
      <family val="1"/>
    </font>
    <font>
      <i/>
      <sz val="9"/>
      <color indexed="17"/>
      <name val="Arial Narrow"/>
      <family val="2"/>
    </font>
    <font>
      <b/>
      <i/>
      <sz val="9"/>
      <color indexed="14"/>
      <name val="Times New Roman"/>
      <family val="1"/>
    </font>
    <font>
      <i/>
      <sz val="9"/>
      <color indexed="14"/>
      <name val="Times New Roman"/>
      <family val="1"/>
    </font>
    <font>
      <b/>
      <u val="single"/>
      <sz val="11"/>
      <color indexed="16"/>
      <name val="Arial"/>
      <family val="2"/>
    </font>
    <font>
      <sz val="9"/>
      <color indexed="16"/>
      <name val="Times New Roman"/>
      <family val="1"/>
    </font>
    <font>
      <i/>
      <sz val="9"/>
      <color indexed="16"/>
      <name val="Times New Roman"/>
      <family val="1"/>
    </font>
    <font>
      <sz val="10"/>
      <color indexed="12"/>
      <name val="Rockwell"/>
      <family val="1"/>
    </font>
    <font>
      <b/>
      <sz val="8"/>
      <color indexed="12"/>
      <name val="Arial"/>
      <family val="2"/>
    </font>
    <font>
      <i/>
      <sz val="8"/>
      <color indexed="12"/>
      <name val="Times New Roman"/>
      <family val="1"/>
    </font>
    <font>
      <b/>
      <i/>
      <sz val="9"/>
      <color indexed="12"/>
      <name val="Times New Roman"/>
      <family val="1"/>
    </font>
    <font>
      <i/>
      <sz val="9"/>
      <color indexed="12"/>
      <name val="Times New Roman"/>
      <family val="1"/>
    </font>
    <font>
      <b/>
      <i/>
      <sz val="11"/>
      <color indexed="12"/>
      <name val="Arial"/>
      <family val="2"/>
    </font>
    <font>
      <b/>
      <sz val="10"/>
      <color indexed="17"/>
      <name val="Arial Narrow"/>
      <family val="2"/>
    </font>
    <font>
      <i/>
      <sz val="10"/>
      <color indexed="17"/>
      <name val="Times New Roman"/>
      <family val="1"/>
    </font>
    <font>
      <sz val="10"/>
      <color indexed="19"/>
      <name val="Arial"/>
      <family val="2"/>
    </font>
    <font>
      <sz val="12"/>
      <name val="Times New Roman"/>
      <family val="1"/>
    </font>
    <font>
      <i/>
      <sz val="12"/>
      <name val="Times New Roman"/>
      <family val="1"/>
    </font>
    <font>
      <sz val="12"/>
      <color indexed="23"/>
      <name val="Arial"/>
      <family val="2"/>
    </font>
    <font>
      <u val="single"/>
      <sz val="12"/>
      <name val="Times New Roman"/>
      <family val="1"/>
    </font>
    <font>
      <u val="single"/>
      <sz val="11"/>
      <color indexed="23"/>
      <name val="Arial"/>
      <family val="2"/>
    </font>
    <font>
      <u val="single"/>
      <sz val="14"/>
      <color indexed="16"/>
      <name val="Times New Roman"/>
      <family val="1"/>
    </font>
    <font>
      <u val="single"/>
      <sz val="11"/>
      <name val="Arial"/>
      <family val="2"/>
    </font>
    <font>
      <sz val="11"/>
      <color indexed="23"/>
      <name val="Arial"/>
      <family val="2"/>
    </font>
    <font>
      <i/>
      <sz val="11"/>
      <name val="Times New Roman"/>
      <family val="1"/>
    </font>
    <font>
      <sz val="14"/>
      <color indexed="52"/>
      <name val="Times New Roman"/>
      <family val="1"/>
    </font>
    <font>
      <sz val="10"/>
      <color indexed="52"/>
      <name val="Arial"/>
      <family val="2"/>
    </font>
    <font>
      <u val="single"/>
      <sz val="14"/>
      <color indexed="52"/>
      <name val="Times New Roman"/>
      <family val="1"/>
    </font>
    <font>
      <sz val="14"/>
      <color indexed="12"/>
      <name val="Times New Roman"/>
      <family val="1"/>
    </font>
    <font>
      <sz val="11"/>
      <color indexed="12"/>
      <name val="Arial"/>
      <family val="2"/>
    </font>
    <font>
      <u val="single"/>
      <sz val="14"/>
      <color indexed="12"/>
      <name val="Times New Roman"/>
      <family val="1"/>
    </font>
    <font>
      <b/>
      <i/>
      <sz val="12"/>
      <name val="Times New Roman"/>
      <family val="1"/>
    </font>
    <font>
      <sz val="14"/>
      <color indexed="16"/>
      <name val="Times New Roman"/>
      <family val="1"/>
    </font>
    <font>
      <b/>
      <sz val="12"/>
      <name val="Times New Roman"/>
      <family val="1"/>
    </font>
    <font>
      <sz val="10"/>
      <color indexed="16"/>
      <name val="Times New Roman"/>
      <family val="1"/>
    </font>
    <font>
      <u val="single"/>
      <sz val="11"/>
      <color indexed="16"/>
      <name val="Times New Roman"/>
      <family val="1"/>
    </font>
    <font>
      <b/>
      <sz val="12"/>
      <color indexed="16"/>
      <name val="Arial"/>
      <family val="2"/>
    </font>
    <font>
      <b/>
      <sz val="10"/>
      <name val="Times New Roman"/>
      <family val="1"/>
    </font>
    <font>
      <sz val="10"/>
      <name val="Times New Roman"/>
      <family val="1"/>
    </font>
    <font>
      <b/>
      <sz val="8"/>
      <name val="Times New Roman"/>
      <family val="1"/>
    </font>
    <font>
      <i/>
      <sz val="10"/>
      <color indexed="16"/>
      <name val="Times New Roman"/>
      <family val="1"/>
    </font>
    <font>
      <sz val="9"/>
      <color indexed="23"/>
      <name val="Arial"/>
      <family val="2"/>
    </font>
    <font>
      <i/>
      <sz val="10"/>
      <color indexed="12"/>
      <name val="Times New Roman"/>
      <family val="1"/>
    </font>
    <font>
      <b/>
      <i/>
      <sz val="11"/>
      <color indexed="12"/>
      <name val="Times New Roman"/>
      <family val="1"/>
    </font>
    <font>
      <b/>
      <sz val="8"/>
      <color indexed="12"/>
      <name val="Arial Narrow"/>
      <family val="2"/>
    </font>
    <font>
      <sz val="8"/>
      <color indexed="23"/>
      <name val="Arial"/>
      <family val="2"/>
    </font>
    <font>
      <i/>
      <sz val="10"/>
      <color indexed="23"/>
      <name val="Arial Narrow"/>
      <family val="2"/>
    </font>
    <font>
      <i/>
      <u val="single"/>
      <sz val="10"/>
      <name val="Times New Roman"/>
      <family val="1"/>
    </font>
    <font>
      <sz val="10"/>
      <name val="Arial Narrow"/>
      <family val="2"/>
    </font>
    <font>
      <u val="single"/>
      <sz val="10"/>
      <name val="Arial Narrow"/>
      <family val="2"/>
    </font>
    <font>
      <b/>
      <sz val="10"/>
      <color indexed="23"/>
      <name val="Arial"/>
      <family val="2"/>
    </font>
    <font>
      <b/>
      <i/>
      <sz val="10"/>
      <color indexed="23"/>
      <name val="Arial"/>
      <family val="2"/>
    </font>
    <font>
      <i/>
      <sz val="12"/>
      <color indexed="23"/>
      <name val="Times New Roman"/>
      <family val="1"/>
    </font>
    <font>
      <sz val="8"/>
      <color indexed="23"/>
      <name val="Arial Narrow"/>
      <family val="2"/>
    </font>
    <font>
      <b/>
      <sz val="13"/>
      <color indexed="60"/>
      <name val="Times New Roman"/>
      <family val="1"/>
    </font>
    <font>
      <sz val="10"/>
      <color indexed="61"/>
      <name val="Arial"/>
      <family val="2"/>
    </font>
    <font>
      <i/>
      <sz val="10"/>
      <color indexed="23"/>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23"/>
      <name val="Times New Roman"/>
      <family val="1"/>
    </font>
    <font>
      <sz val="10"/>
      <color indexed="12"/>
      <name val="Arial Narrow"/>
      <family val="2"/>
    </font>
    <font>
      <sz val="11"/>
      <color indexed="60"/>
      <name val="Arial"/>
      <family val="2"/>
    </font>
    <font>
      <b/>
      <sz val="12"/>
      <color indexed="60"/>
      <name val="Times New Roman"/>
      <family val="1"/>
    </font>
    <font>
      <i/>
      <sz val="9"/>
      <color indexed="12"/>
      <name val="Arial"/>
      <family val="2"/>
    </font>
    <font>
      <sz val="9"/>
      <color indexed="60"/>
      <name val="Arial"/>
      <family val="2"/>
    </font>
    <font>
      <b/>
      <i/>
      <u val="single"/>
      <sz val="12"/>
      <name val="Times New Roman"/>
      <family val="1"/>
    </font>
    <font>
      <b/>
      <i/>
      <sz val="10"/>
      <name val="Arial"/>
      <family val="0"/>
    </font>
    <font>
      <b/>
      <sz val="10"/>
      <name val="Arial"/>
      <family val="0"/>
    </font>
    <font>
      <b/>
      <sz val="12"/>
      <color indexed="60"/>
      <name val="Courier"/>
      <family val="3"/>
    </font>
    <font>
      <b/>
      <i/>
      <sz val="9"/>
      <color indexed="12"/>
      <name val="Arial Narrow"/>
      <family val="2"/>
    </font>
    <font>
      <b/>
      <sz val="10"/>
      <color indexed="8"/>
      <name val="Arial"/>
      <family val="2"/>
    </font>
    <font>
      <b/>
      <sz val="9"/>
      <color indexed="8"/>
      <name val="Arial"/>
      <family val="2"/>
    </font>
    <font>
      <sz val="10"/>
      <color indexed="8"/>
      <name val="Calibri"/>
      <family val="0"/>
    </font>
    <font>
      <b/>
      <sz val="10"/>
      <color indexed="8"/>
      <name val="Calibri"/>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28"/>
      <color indexed="8"/>
      <name val="Calibri"/>
      <family val="0"/>
    </font>
    <font>
      <b/>
      <sz val="8"/>
      <color indexed="8"/>
      <name val="Calibri"/>
      <family val="0"/>
    </font>
    <font>
      <b/>
      <sz val="16"/>
      <color indexed="8"/>
      <name val="Calibri"/>
      <family val="0"/>
    </font>
    <font>
      <sz val="14"/>
      <color indexed="63"/>
      <name val="Arial"/>
      <family val="0"/>
    </font>
    <font>
      <sz val="14"/>
      <color indexed="8"/>
      <name val="Arial"/>
      <family val="0"/>
    </font>
    <font>
      <b/>
      <sz val="28"/>
      <color indexed="8"/>
      <name val="Arial"/>
      <family val="0"/>
    </font>
    <font>
      <i/>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rgb="FFC0C0C0"/>
        <bgColor indexed="64"/>
      </patternFill>
    </fill>
    <fill>
      <patternFill patternType="solid">
        <fgColor rgb="FF99CC00"/>
        <bgColor indexed="64"/>
      </patternFill>
    </fill>
    <fill>
      <patternFill patternType="solid">
        <fgColor rgb="FFFFCC00"/>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19"/>
        <bgColor indexed="64"/>
      </patternFill>
    </fill>
    <fill>
      <patternFill patternType="solid">
        <fgColor rgb="FF99CCFF"/>
        <bgColor indexed="64"/>
      </patternFill>
    </fill>
    <fill>
      <patternFill patternType="solid">
        <fgColor rgb="FFCCFFFF"/>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style="medium"/>
      <top style="medium"/>
      <bottom/>
    </border>
    <border>
      <left/>
      <right style="medium"/>
      <top style="medium"/>
      <bottom/>
    </border>
    <border>
      <left style="medium"/>
      <right/>
      <top/>
      <bottom/>
    </border>
    <border>
      <left style="medium"/>
      <right style="medium"/>
      <top/>
      <bottom/>
    </border>
    <border>
      <left/>
      <right style="medium"/>
      <top/>
      <bottom/>
    </border>
    <border>
      <left style="medium"/>
      <right style="medium"/>
      <top/>
      <bottom style="medium"/>
    </border>
    <border>
      <left/>
      <right/>
      <top/>
      <bottom style="medium"/>
    </border>
    <border>
      <left/>
      <right style="medium"/>
      <top/>
      <bottom style="medium"/>
    </border>
    <border>
      <left style="medium"/>
      <right/>
      <top/>
      <bottom style="medium"/>
    </border>
    <border>
      <left style="thin"/>
      <right/>
      <top/>
      <bottom/>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mediu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26" borderId="0" applyNumberFormat="0" applyBorder="0" applyAlignment="0" applyProtection="0"/>
    <xf numFmtId="0" fontId="149" fillId="27" borderId="1" applyNumberFormat="0" applyAlignment="0" applyProtection="0"/>
    <xf numFmtId="0" fontId="1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1" fillId="0" borderId="0" applyNumberFormat="0" applyFill="0" applyBorder="0" applyAlignment="0" applyProtection="0"/>
    <xf numFmtId="0" fontId="152" fillId="29" borderId="0" applyNumberFormat="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30" borderId="1" applyNumberFormat="0" applyAlignment="0" applyProtection="0"/>
    <xf numFmtId="0" fontId="157" fillId="0" borderId="6" applyNumberFormat="0" applyFill="0" applyAlignment="0" applyProtection="0"/>
    <xf numFmtId="0" fontId="158" fillId="31" borderId="0" applyNumberFormat="0" applyBorder="0" applyAlignment="0" applyProtection="0"/>
    <xf numFmtId="0" fontId="0" fillId="32" borderId="7" applyNumberFormat="0" applyFont="0" applyAlignment="0" applyProtection="0"/>
    <xf numFmtId="0" fontId="159" fillId="27" borderId="8" applyNumberFormat="0" applyAlignment="0" applyProtection="0"/>
    <xf numFmtId="9" fontId="0"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260">
    <xf numFmtId="0" fontId="0" fillId="0" borderId="0" xfId="0" applyAlignment="1">
      <alignment/>
    </xf>
    <xf numFmtId="0" fontId="4" fillId="0" borderId="0" xfId="0" applyFont="1" applyAlignment="1">
      <alignment/>
    </xf>
    <xf numFmtId="0" fontId="6" fillId="0" borderId="0" xfId="0" applyFont="1" applyAlignment="1">
      <alignment/>
    </xf>
    <xf numFmtId="166" fontId="7" fillId="0" borderId="0" xfId="0" applyNumberFormat="1" applyFont="1" applyAlignment="1">
      <alignment/>
    </xf>
    <xf numFmtId="164" fontId="7" fillId="0" borderId="0" xfId="0" applyNumberFormat="1" applyFont="1" applyAlignment="1">
      <alignment/>
    </xf>
    <xf numFmtId="167" fontId="7" fillId="0" borderId="0" xfId="0" applyNumberFormat="1" applyFont="1" applyAlignment="1">
      <alignment/>
    </xf>
    <xf numFmtId="168" fontId="26" fillId="33" borderId="0" xfId="57" applyNumberFormat="1" applyFont="1" applyFill="1" applyAlignment="1" applyProtection="1">
      <alignment vertical="center"/>
      <protection/>
    </xf>
    <xf numFmtId="165" fontId="27" fillId="33" borderId="0" xfId="57" applyNumberFormat="1" applyFont="1" applyFill="1" applyAlignment="1">
      <alignment vertical="center"/>
    </xf>
    <xf numFmtId="165" fontId="27" fillId="33" borderId="0" xfId="57" applyNumberFormat="1" applyFont="1" applyFill="1" applyAlignment="1" applyProtection="1">
      <alignment vertical="center"/>
      <protection/>
    </xf>
    <xf numFmtId="165" fontId="16" fillId="33" borderId="0" xfId="57" applyNumberFormat="1" applyFont="1" applyFill="1" applyAlignment="1" applyProtection="1">
      <alignment vertical="center"/>
      <protection/>
    </xf>
    <xf numFmtId="0" fontId="10" fillId="0" borderId="0" xfId="0" applyFont="1" applyFill="1" applyAlignment="1">
      <alignment vertical="center"/>
    </xf>
    <xf numFmtId="0" fontId="0" fillId="0" borderId="0" xfId="0" applyAlignment="1">
      <alignment vertical="center"/>
    </xf>
    <xf numFmtId="0" fontId="8" fillId="0" borderId="0" xfId="0" applyFont="1" applyAlignment="1">
      <alignment vertical="center"/>
    </xf>
    <xf numFmtId="165" fontId="36" fillId="34" borderId="0" xfId="57" applyNumberFormat="1" applyFont="1" applyFill="1" applyAlignment="1" applyProtection="1">
      <alignment vertical="center"/>
      <protection/>
    </xf>
    <xf numFmtId="165" fontId="37" fillId="35" borderId="0" xfId="57" applyNumberFormat="1" applyFont="1" applyFill="1" applyAlignment="1" applyProtection="1">
      <alignment vertical="center"/>
      <protection/>
    </xf>
    <xf numFmtId="169" fontId="38" fillId="34" borderId="0" xfId="44" applyNumberFormat="1" applyFont="1" applyFill="1" applyAlignment="1" applyProtection="1">
      <alignment vertical="center"/>
      <protection/>
    </xf>
    <xf numFmtId="169" fontId="39" fillId="36" borderId="0" xfId="44" applyNumberFormat="1" applyFont="1" applyFill="1" applyAlignment="1" applyProtection="1">
      <alignment vertical="center"/>
      <protection/>
    </xf>
    <xf numFmtId="168" fontId="41" fillId="34" borderId="0" xfId="57" applyNumberFormat="1" applyFont="1" applyFill="1" applyAlignment="1" applyProtection="1">
      <alignment vertical="center"/>
      <protection/>
    </xf>
    <xf numFmtId="10" fontId="37" fillId="35" borderId="0" xfId="57" applyNumberFormat="1" applyFont="1" applyFill="1" applyAlignment="1" applyProtection="1">
      <alignment vertical="center"/>
      <protection/>
    </xf>
    <xf numFmtId="10" fontId="40" fillId="34" borderId="0" xfId="57" applyNumberFormat="1" applyFont="1" applyFill="1" applyAlignment="1" applyProtection="1">
      <alignment vertical="center"/>
      <protection/>
    </xf>
    <xf numFmtId="10" fontId="40" fillId="36" borderId="0" xfId="57" applyNumberFormat="1" applyFont="1" applyFill="1" applyAlignment="1" applyProtection="1">
      <alignment vertical="center"/>
      <protection/>
    </xf>
    <xf numFmtId="17" fontId="21" fillId="37" borderId="0" xfId="0" applyNumberFormat="1" applyFont="1" applyFill="1" applyAlignment="1" quotePrefix="1">
      <alignment vertical="center"/>
    </xf>
    <xf numFmtId="0" fontId="23" fillId="37" borderId="0" xfId="0" applyFont="1" applyFill="1" applyAlignment="1">
      <alignment vertical="center"/>
    </xf>
    <xf numFmtId="165" fontId="42" fillId="34" borderId="0" xfId="57" applyNumberFormat="1" applyFont="1" applyFill="1" applyAlignment="1" applyProtection="1">
      <alignment vertical="center"/>
      <protection/>
    </xf>
    <xf numFmtId="0" fontId="4" fillId="0" borderId="0" xfId="0" applyFont="1" applyFill="1" applyAlignment="1">
      <alignment/>
    </xf>
    <xf numFmtId="165" fontId="25" fillId="0" borderId="0" xfId="57" applyNumberFormat="1" applyFont="1" applyFill="1" applyAlignment="1" applyProtection="1">
      <alignment vertical="center"/>
      <protection/>
    </xf>
    <xf numFmtId="165" fontId="52" fillId="34" borderId="0" xfId="57" applyNumberFormat="1" applyFont="1" applyFill="1" applyAlignment="1" applyProtection="1">
      <alignment vertical="center"/>
      <protection/>
    </xf>
    <xf numFmtId="10" fontId="60" fillId="38" borderId="10" xfId="57" applyNumberFormat="1" applyFont="1" applyFill="1" applyBorder="1" applyAlignment="1">
      <alignment vertical="center"/>
    </xf>
    <xf numFmtId="169" fontId="47" fillId="38" borderId="10" xfId="44" applyNumberFormat="1" applyFont="1" applyFill="1" applyBorder="1" applyAlignment="1">
      <alignment horizontal="center" vertical="center"/>
    </xf>
    <xf numFmtId="10" fontId="34" fillId="38" borderId="10" xfId="57" applyNumberFormat="1" applyFont="1" applyFill="1" applyBorder="1" applyAlignment="1" applyProtection="1">
      <alignment vertical="center"/>
      <protection/>
    </xf>
    <xf numFmtId="9" fontId="28" fillId="37" borderId="0" xfId="0" applyNumberFormat="1" applyFont="1" applyFill="1" applyAlignment="1">
      <alignment/>
    </xf>
    <xf numFmtId="0" fontId="61" fillId="37" borderId="0" xfId="0" applyFont="1" applyFill="1" applyAlignment="1">
      <alignment/>
    </xf>
    <xf numFmtId="169" fontId="40" fillId="34" borderId="0" xfId="44" applyNumberFormat="1" applyFont="1" applyFill="1" applyAlignment="1" applyProtection="1">
      <alignment vertical="center"/>
      <protection/>
    </xf>
    <xf numFmtId="169" fontId="40" fillId="36" borderId="0" xfId="44" applyNumberFormat="1" applyFont="1" applyFill="1" applyAlignment="1" applyProtection="1">
      <alignment vertical="center"/>
      <protection/>
    </xf>
    <xf numFmtId="0" fontId="63" fillId="0" borderId="0" xfId="0" applyFont="1" applyAlignment="1">
      <alignment/>
    </xf>
    <xf numFmtId="0" fontId="64" fillId="0" borderId="0" xfId="0" applyFont="1" applyAlignment="1">
      <alignment horizontal="left" wrapText="1"/>
    </xf>
    <xf numFmtId="0" fontId="64" fillId="0" borderId="0" xfId="0" applyFont="1" applyAlignment="1">
      <alignment wrapText="1"/>
    </xf>
    <xf numFmtId="0" fontId="64" fillId="0" borderId="0" xfId="0" applyFont="1" applyAlignment="1">
      <alignment/>
    </xf>
    <xf numFmtId="0" fontId="65" fillId="0" borderId="0" xfId="0" applyFont="1" applyAlignment="1">
      <alignment horizontal="centerContinuous"/>
    </xf>
    <xf numFmtId="0" fontId="66" fillId="0" borderId="0" xfId="0" applyFont="1" applyAlignment="1">
      <alignment horizontal="centerContinuous"/>
    </xf>
    <xf numFmtId="0" fontId="0" fillId="0" borderId="0" xfId="0" applyAlignment="1">
      <alignment horizontal="centerContinuous"/>
    </xf>
    <xf numFmtId="0" fontId="67" fillId="0" borderId="0" xfId="0" applyFont="1" applyAlignment="1">
      <alignment horizontal="right"/>
    </xf>
    <xf numFmtId="0" fontId="68" fillId="0" borderId="0" xfId="0" applyFont="1" applyAlignment="1">
      <alignment horizontal="right"/>
    </xf>
    <xf numFmtId="165" fontId="69" fillId="0" borderId="0" xfId="57" applyNumberFormat="1" applyFont="1" applyAlignment="1" applyProtection="1">
      <alignment horizontal="right"/>
      <protection/>
    </xf>
    <xf numFmtId="0" fontId="70" fillId="0" borderId="0" xfId="0" applyFont="1" applyAlignment="1">
      <alignment horizontal="center"/>
    </xf>
    <xf numFmtId="171" fontId="71" fillId="0" borderId="0" xfId="0" applyNumberFormat="1" applyFont="1" applyAlignment="1">
      <alignment/>
    </xf>
    <xf numFmtId="0" fontId="64" fillId="0" borderId="0" xfId="0" applyFont="1" applyAlignment="1">
      <alignment/>
    </xf>
    <xf numFmtId="165" fontId="71" fillId="0" borderId="0" xfId="0" applyNumberFormat="1" applyFont="1" applyAlignment="1">
      <alignment/>
    </xf>
    <xf numFmtId="0" fontId="72" fillId="0" borderId="0" xfId="0" applyFont="1" applyAlignment="1">
      <alignment/>
    </xf>
    <xf numFmtId="0" fontId="67" fillId="0" borderId="0" xfId="0" applyFont="1" applyAlignment="1">
      <alignment/>
    </xf>
    <xf numFmtId="165" fontId="73" fillId="0" borderId="0" xfId="0" applyNumberFormat="1" applyFont="1" applyAlignment="1">
      <alignment/>
    </xf>
    <xf numFmtId="0" fontId="74" fillId="0" borderId="0" xfId="0" applyFont="1" applyAlignment="1">
      <alignment/>
    </xf>
    <xf numFmtId="165" fontId="68" fillId="0" borderId="0" xfId="0" applyNumberFormat="1" applyFont="1" applyAlignment="1">
      <alignment/>
    </xf>
    <xf numFmtId="165" fontId="75" fillId="0" borderId="0" xfId="0" applyNumberFormat="1" applyFont="1" applyAlignment="1">
      <alignment/>
    </xf>
    <xf numFmtId="165" fontId="76" fillId="0" borderId="0" xfId="57" applyNumberFormat="1" applyFont="1" applyAlignment="1" applyProtection="1">
      <alignment vertical="center"/>
      <protection/>
    </xf>
    <xf numFmtId="0" fontId="77" fillId="0" borderId="0" xfId="0" applyFont="1" applyAlignment="1">
      <alignment/>
    </xf>
    <xf numFmtId="0" fontId="8" fillId="0" borderId="0" xfId="0" applyFont="1" applyAlignment="1">
      <alignment/>
    </xf>
    <xf numFmtId="165" fontId="78" fillId="0" borderId="0" xfId="57" applyNumberFormat="1" applyFont="1" applyAlignment="1" applyProtection="1">
      <alignment vertical="center"/>
      <protection/>
    </xf>
    <xf numFmtId="0" fontId="79" fillId="0" borderId="0" xfId="0" applyFont="1" applyAlignment="1">
      <alignment/>
    </xf>
    <xf numFmtId="165" fontId="80" fillId="0" borderId="0" xfId="57" applyNumberFormat="1" applyFont="1" applyAlignment="1" applyProtection="1">
      <alignment vertical="center"/>
      <protection/>
    </xf>
    <xf numFmtId="0" fontId="81" fillId="0" borderId="0" xfId="0" applyFont="1" applyAlignment="1">
      <alignment/>
    </xf>
    <xf numFmtId="165" fontId="83" fillId="34" borderId="0" xfId="57" applyNumberFormat="1" applyFont="1" applyFill="1" applyAlignment="1" applyProtection="1">
      <alignment vertical="center"/>
      <protection/>
    </xf>
    <xf numFmtId="169" fontId="54" fillId="38" borderId="10" xfId="44" applyNumberFormat="1" applyFont="1" applyFill="1" applyBorder="1" applyAlignment="1" applyProtection="1">
      <alignment vertical="center"/>
      <protection/>
    </xf>
    <xf numFmtId="165" fontId="5" fillId="38" borderId="10" xfId="0" applyNumberFormat="1" applyFont="1" applyFill="1" applyBorder="1" applyAlignment="1">
      <alignment/>
    </xf>
    <xf numFmtId="169" fontId="33" fillId="39" borderId="0" xfId="44" applyNumberFormat="1" applyFont="1" applyFill="1" applyBorder="1" applyAlignment="1">
      <alignment horizontal="centerContinuous" vertical="center"/>
    </xf>
    <xf numFmtId="169" fontId="47" fillId="0" borderId="0" xfId="44" applyNumberFormat="1" applyFont="1" applyAlignment="1">
      <alignment/>
    </xf>
    <xf numFmtId="0" fontId="0" fillId="0" borderId="0" xfId="0" applyAlignment="1">
      <alignment horizontal="center"/>
    </xf>
    <xf numFmtId="169" fontId="47" fillId="0" borderId="11" xfId="44" applyNumberFormat="1" applyFont="1" applyBorder="1" applyAlignment="1">
      <alignment/>
    </xf>
    <xf numFmtId="0" fontId="0" fillId="0" borderId="12" xfId="0" applyBorder="1" applyAlignment="1">
      <alignment/>
    </xf>
    <xf numFmtId="169" fontId="47" fillId="0" borderId="12" xfId="44" applyNumberFormat="1" applyFont="1" applyBorder="1" applyAlignment="1">
      <alignment/>
    </xf>
    <xf numFmtId="0" fontId="24" fillId="0" borderId="12" xfId="0" applyFont="1" applyFill="1" applyBorder="1" applyAlignment="1">
      <alignment/>
    </xf>
    <xf numFmtId="0" fontId="85" fillId="0" borderId="13" xfId="0" applyFont="1" applyBorder="1" applyAlignment="1">
      <alignment horizontal="center"/>
    </xf>
    <xf numFmtId="0" fontId="0" fillId="0" borderId="13" xfId="0" applyBorder="1" applyAlignment="1">
      <alignment/>
    </xf>
    <xf numFmtId="0" fontId="85" fillId="0" borderId="12" xfId="0" applyFont="1" applyBorder="1" applyAlignment="1">
      <alignment horizontal="center"/>
    </xf>
    <xf numFmtId="0" fontId="0" fillId="0" borderId="14" xfId="0" applyBorder="1" applyAlignment="1">
      <alignment/>
    </xf>
    <xf numFmtId="169" fontId="47" fillId="0" borderId="15" xfId="44" applyNumberFormat="1" applyFont="1" applyBorder="1" applyAlignment="1">
      <alignment/>
    </xf>
    <xf numFmtId="0" fontId="0" fillId="0" borderId="16" xfId="0" applyBorder="1" applyAlignment="1">
      <alignment/>
    </xf>
    <xf numFmtId="0" fontId="85" fillId="0" borderId="16" xfId="0" applyFont="1" applyFill="1" applyBorder="1" applyAlignment="1">
      <alignment horizontal="center"/>
    </xf>
    <xf numFmtId="0" fontId="85" fillId="0" borderId="0" xfId="0" applyFont="1" applyBorder="1" applyAlignment="1">
      <alignment horizontal="center"/>
    </xf>
    <xf numFmtId="0" fontId="85" fillId="0" borderId="16" xfId="0" applyFont="1" applyBorder="1" applyAlignment="1">
      <alignment horizontal="center"/>
    </xf>
    <xf numFmtId="0" fontId="0" fillId="0" borderId="17" xfId="0" applyBorder="1" applyAlignment="1">
      <alignment/>
    </xf>
    <xf numFmtId="0" fontId="85" fillId="0" borderId="17" xfId="0" applyFont="1" applyBorder="1" applyAlignment="1">
      <alignment horizontal="center"/>
    </xf>
    <xf numFmtId="0" fontId="85" fillId="0" borderId="18" xfId="0" applyFont="1" applyFill="1" applyBorder="1" applyAlignment="1">
      <alignment horizontal="center" vertical="center"/>
    </xf>
    <xf numFmtId="0" fontId="86" fillId="0" borderId="19" xfId="0" applyFont="1" applyBorder="1" applyAlignment="1">
      <alignment/>
    </xf>
    <xf numFmtId="0" fontId="87" fillId="0" borderId="18" xfId="0" applyFont="1" applyFill="1" applyBorder="1" applyAlignment="1">
      <alignment horizontal="center" vertical="center" wrapText="1"/>
    </xf>
    <xf numFmtId="0" fontId="85" fillId="0" borderId="20" xfId="0" applyFont="1" applyFill="1" applyBorder="1" applyAlignment="1">
      <alignment horizontal="center"/>
    </xf>
    <xf numFmtId="0" fontId="0" fillId="0" borderId="15" xfId="0" applyBorder="1" applyAlignment="1">
      <alignment/>
    </xf>
    <xf numFmtId="0" fontId="24" fillId="0" borderId="0" xfId="0" applyFont="1" applyFill="1" applyBorder="1" applyAlignment="1">
      <alignment horizontal="center"/>
    </xf>
    <xf numFmtId="172" fontId="88" fillId="0" borderId="0" xfId="44" applyNumberFormat="1" applyFont="1" applyFill="1" applyBorder="1" applyAlignment="1">
      <alignment horizontal="center"/>
    </xf>
    <xf numFmtId="165" fontId="89" fillId="0" borderId="0" xfId="0" applyNumberFormat="1" applyFont="1" applyBorder="1" applyAlignment="1">
      <alignment horizontal="center"/>
    </xf>
    <xf numFmtId="165" fontId="89" fillId="0" borderId="17" xfId="0" applyNumberFormat="1" applyFont="1" applyBorder="1" applyAlignment="1">
      <alignment horizontal="center"/>
    </xf>
    <xf numFmtId="0" fontId="90" fillId="0" borderId="0" xfId="0" applyFont="1" applyBorder="1" applyAlignment="1">
      <alignment/>
    </xf>
    <xf numFmtId="0" fontId="0" fillId="0" borderId="0" xfId="0" applyBorder="1" applyAlignment="1">
      <alignment/>
    </xf>
    <xf numFmtId="0" fontId="90" fillId="0" borderId="0" xfId="0" applyFont="1" applyAlignment="1">
      <alignment/>
    </xf>
    <xf numFmtId="0" fontId="26" fillId="0" borderId="0" xfId="0" applyFont="1" applyBorder="1" applyAlignment="1">
      <alignment/>
    </xf>
    <xf numFmtId="0" fontId="0" fillId="0" borderId="21" xfId="0" applyBorder="1" applyAlignment="1">
      <alignment/>
    </xf>
    <xf numFmtId="0" fontId="0" fillId="0" borderId="19" xfId="0" applyBorder="1" applyAlignment="1">
      <alignment/>
    </xf>
    <xf numFmtId="0" fontId="26" fillId="0" borderId="19" xfId="0" applyFont="1" applyBorder="1" applyAlignment="1">
      <alignment/>
    </xf>
    <xf numFmtId="0" fontId="24" fillId="0" borderId="19" xfId="0" applyFont="1" applyFill="1" applyBorder="1" applyAlignment="1">
      <alignment horizontal="center"/>
    </xf>
    <xf numFmtId="172" fontId="88" fillId="0" borderId="19" xfId="44" applyNumberFormat="1" applyFont="1" applyFill="1" applyBorder="1" applyAlignment="1">
      <alignment horizontal="center"/>
    </xf>
    <xf numFmtId="165" fontId="89" fillId="0" borderId="20" xfId="0" applyNumberFormat="1" applyFont="1" applyBorder="1" applyAlignment="1">
      <alignment horizontal="center"/>
    </xf>
    <xf numFmtId="165" fontId="56" fillId="0" borderId="15" xfId="57" applyNumberFormat="1" applyFont="1" applyBorder="1" applyAlignment="1">
      <alignment horizontal="left"/>
    </xf>
    <xf numFmtId="0" fontId="2" fillId="0" borderId="0" xfId="0" applyFont="1" applyBorder="1" applyAlignment="1">
      <alignment/>
    </xf>
    <xf numFmtId="169" fontId="92" fillId="0" borderId="0" xfId="44" applyNumberFormat="1" applyFont="1" applyBorder="1" applyAlignment="1">
      <alignment/>
    </xf>
    <xf numFmtId="0" fontId="18" fillId="0" borderId="0" xfId="0" applyFont="1" applyBorder="1" applyAlignment="1">
      <alignment/>
    </xf>
    <xf numFmtId="165" fontId="15" fillId="0" borderId="0" xfId="57" applyNumberFormat="1" applyFont="1" applyBorder="1" applyAlignment="1" applyProtection="1">
      <alignment horizontal="center" vertical="center"/>
      <protection/>
    </xf>
    <xf numFmtId="169" fontId="93" fillId="0" borderId="0" xfId="44" applyNumberFormat="1" applyFont="1" applyBorder="1" applyAlignment="1">
      <alignment horizontal="center" vertical="center"/>
    </xf>
    <xf numFmtId="0" fontId="94" fillId="0" borderId="0" xfId="0" applyFont="1" applyBorder="1" applyAlignment="1" quotePrefix="1">
      <alignment horizontal="center"/>
    </xf>
    <xf numFmtId="169" fontId="47" fillId="0" borderId="0" xfId="44" applyNumberFormat="1" applyFont="1" applyBorder="1" applyAlignment="1">
      <alignment/>
    </xf>
    <xf numFmtId="0" fontId="95" fillId="0" borderId="0" xfId="0" applyFont="1" applyBorder="1" applyAlignment="1">
      <alignment/>
    </xf>
    <xf numFmtId="0" fontId="0" fillId="0" borderId="20" xfId="0" applyBorder="1" applyAlignment="1">
      <alignment/>
    </xf>
    <xf numFmtId="0" fontId="96" fillId="0" borderId="0" xfId="0" applyFont="1" applyAlignment="1">
      <alignment horizontal="center" wrapText="1"/>
    </xf>
    <xf numFmtId="0" fontId="97" fillId="0" borderId="0" xfId="0" applyFont="1" applyBorder="1" applyAlignment="1">
      <alignment horizontal="center"/>
    </xf>
    <xf numFmtId="165" fontId="14" fillId="0" borderId="0" xfId="57" applyNumberFormat="1" applyFont="1" applyBorder="1" applyAlignment="1">
      <alignment horizontal="right" vertical="center"/>
    </xf>
    <xf numFmtId="165" fontId="98" fillId="0" borderId="0" xfId="57" applyNumberFormat="1" applyFont="1" applyBorder="1" applyAlignment="1">
      <alignment horizontal="center" vertical="center"/>
    </xf>
    <xf numFmtId="2" fontId="99" fillId="0" borderId="0" xfId="0" applyNumberFormat="1" applyFont="1" applyBorder="1" applyAlignment="1">
      <alignment horizontal="center" vertical="center"/>
    </xf>
    <xf numFmtId="0" fontId="0" fillId="0" borderId="0" xfId="0" applyBorder="1" applyAlignment="1">
      <alignment vertical="center"/>
    </xf>
    <xf numFmtId="165" fontId="100" fillId="0" borderId="0" xfId="57" applyNumberFormat="1" applyFont="1" applyBorder="1" applyAlignment="1">
      <alignment horizontal="right" vertical="center"/>
    </xf>
    <xf numFmtId="0" fontId="32" fillId="0" borderId="17" xfId="0" applyFont="1" applyBorder="1" applyAlignment="1">
      <alignment/>
    </xf>
    <xf numFmtId="0" fontId="101" fillId="0" borderId="0" xfId="0" applyFont="1" applyBorder="1" applyAlignment="1">
      <alignment vertical="center"/>
    </xf>
    <xf numFmtId="0" fontId="94" fillId="0" borderId="0" xfId="0" applyFont="1" applyBorder="1" applyAlignment="1" quotePrefix="1">
      <alignment horizontal="center" vertical="center"/>
    </xf>
    <xf numFmtId="0" fontId="0" fillId="0" borderId="0" xfId="0" applyBorder="1" applyAlignment="1">
      <alignment horizontal="right"/>
    </xf>
    <xf numFmtId="165" fontId="82" fillId="0" borderId="17" xfId="57" applyNumberFormat="1" applyFont="1" applyFill="1" applyBorder="1" applyAlignment="1">
      <alignment horizontal="left" indent="1"/>
    </xf>
    <xf numFmtId="0" fontId="94" fillId="0" borderId="0" xfId="0" applyFont="1" applyBorder="1" applyAlignment="1" quotePrefix="1">
      <alignment/>
    </xf>
    <xf numFmtId="0" fontId="96" fillId="0" borderId="0" xfId="0" applyFont="1" applyBorder="1" applyAlignment="1">
      <alignment/>
    </xf>
    <xf numFmtId="0" fontId="0" fillId="0" borderId="0" xfId="0" applyBorder="1" applyAlignment="1">
      <alignment/>
    </xf>
    <xf numFmtId="0" fontId="6" fillId="0" borderId="15" xfId="0" applyFont="1" applyBorder="1" applyAlignment="1">
      <alignment/>
    </xf>
    <xf numFmtId="165" fontId="102" fillId="0" borderId="10" xfId="57" applyNumberFormat="1" applyFont="1" applyFill="1" applyBorder="1" applyAlignment="1">
      <alignment horizontal="center"/>
    </xf>
    <xf numFmtId="0" fontId="32" fillId="0" borderId="20" xfId="0" applyFont="1" applyBorder="1" applyAlignment="1">
      <alignment/>
    </xf>
    <xf numFmtId="0" fontId="32" fillId="0" borderId="14" xfId="0" applyFont="1" applyBorder="1" applyAlignment="1">
      <alignment/>
    </xf>
    <xf numFmtId="0" fontId="0" fillId="0" borderId="0" xfId="0" applyBorder="1" applyAlignment="1">
      <alignment horizontal="center"/>
    </xf>
    <xf numFmtId="0" fontId="0" fillId="0" borderId="17" xfId="0" applyBorder="1" applyAlignment="1">
      <alignment horizontal="center"/>
    </xf>
    <xf numFmtId="0" fontId="24" fillId="0" borderId="15" xfId="0" applyFont="1" applyBorder="1" applyAlignment="1">
      <alignment/>
    </xf>
    <xf numFmtId="0" fontId="86" fillId="0" borderId="0" xfId="0" applyFont="1" applyBorder="1" applyAlignment="1">
      <alignment/>
    </xf>
    <xf numFmtId="169" fontId="13" fillId="0" borderId="15" xfId="44" applyNumberFormat="1" applyFont="1" applyBorder="1" applyAlignment="1">
      <alignment horizontal="left"/>
    </xf>
    <xf numFmtId="0" fontId="27" fillId="0" borderId="0" xfId="0" applyFont="1" applyBorder="1" applyAlignment="1">
      <alignment/>
    </xf>
    <xf numFmtId="0" fontId="103" fillId="0" borderId="0" xfId="0" applyFont="1" applyBorder="1" applyAlignment="1">
      <alignment/>
    </xf>
    <xf numFmtId="9" fontId="89" fillId="0" borderId="17" xfId="57" applyFont="1" applyBorder="1" applyAlignment="1">
      <alignment horizontal="center"/>
    </xf>
    <xf numFmtId="169" fontId="13" fillId="0" borderId="15" xfId="44" applyNumberFormat="1" applyFont="1" applyBorder="1" applyAlignment="1">
      <alignment/>
    </xf>
    <xf numFmtId="0" fontId="8" fillId="0" borderId="0" xfId="0" applyFont="1" applyBorder="1" applyAlignment="1">
      <alignment/>
    </xf>
    <xf numFmtId="0" fontId="104" fillId="0" borderId="17" xfId="0" applyFont="1" applyBorder="1" applyAlignment="1">
      <alignment horizontal="center"/>
    </xf>
    <xf numFmtId="0" fontId="32" fillId="0" borderId="0" xfId="0" applyFont="1" applyBorder="1" applyAlignment="1">
      <alignment/>
    </xf>
    <xf numFmtId="169" fontId="33" fillId="39" borderId="10" xfId="44" applyNumberFormat="1" applyFont="1" applyFill="1" applyBorder="1" applyAlignment="1">
      <alignment horizontal="left" vertical="center"/>
    </xf>
    <xf numFmtId="0" fontId="105" fillId="0" borderId="15" xfId="0" applyFont="1" applyBorder="1" applyAlignment="1">
      <alignment/>
    </xf>
    <xf numFmtId="169" fontId="106" fillId="0" borderId="0" xfId="44" applyNumberFormat="1" applyFont="1" applyBorder="1" applyAlignment="1">
      <alignment/>
    </xf>
    <xf numFmtId="6" fontId="108" fillId="0" borderId="17" xfId="0" applyNumberFormat="1" applyFont="1" applyBorder="1" applyAlignment="1">
      <alignment horizontal="center"/>
    </xf>
    <xf numFmtId="169" fontId="109" fillId="0" borderId="0" xfId="44" applyNumberFormat="1" applyFont="1" applyBorder="1" applyAlignment="1">
      <alignment/>
    </xf>
    <xf numFmtId="0" fontId="32" fillId="0" borderId="20" xfId="0" applyFont="1" applyBorder="1" applyAlignment="1">
      <alignment horizontal="center"/>
    </xf>
    <xf numFmtId="0" fontId="96" fillId="0" borderId="0" xfId="0" applyFont="1" applyBorder="1" applyAlignment="1">
      <alignment horizontal="center" wrapText="1"/>
    </xf>
    <xf numFmtId="165" fontId="111" fillId="0" borderId="10" xfId="57" applyNumberFormat="1" applyFont="1" applyFill="1" applyBorder="1" applyAlignment="1">
      <alignment/>
    </xf>
    <xf numFmtId="0" fontId="112" fillId="0" borderId="0" xfId="0" applyFont="1" applyAlignment="1">
      <alignment/>
    </xf>
    <xf numFmtId="0" fontId="2" fillId="0" borderId="0" xfId="0" applyFont="1" applyBorder="1" applyAlignment="1">
      <alignment/>
    </xf>
    <xf numFmtId="0" fontId="114" fillId="0" borderId="0" xfId="0" applyFont="1" applyAlignment="1">
      <alignment/>
    </xf>
    <xf numFmtId="0" fontId="84" fillId="34" borderId="0" xfId="0" applyFont="1" applyFill="1" applyAlignment="1">
      <alignment horizontal="center"/>
    </xf>
    <xf numFmtId="169" fontId="33" fillId="0" borderId="22" xfId="44" applyNumberFormat="1" applyFont="1" applyFill="1" applyBorder="1" applyAlignment="1">
      <alignment horizontal="left" vertical="center"/>
    </xf>
    <xf numFmtId="0" fontId="0" fillId="40" borderId="0" xfId="0" applyFill="1" applyAlignment="1">
      <alignment/>
    </xf>
    <xf numFmtId="0" fontId="0" fillId="0" borderId="0" xfId="0" applyFill="1" applyAlignment="1">
      <alignment vertical="center"/>
    </xf>
    <xf numFmtId="169" fontId="59" fillId="0" borderId="0" xfId="44" applyNumberFormat="1" applyFont="1" applyFill="1" applyAlignment="1" applyProtection="1">
      <alignment vertical="center"/>
      <protection/>
    </xf>
    <xf numFmtId="0" fontId="8" fillId="0" borderId="0" xfId="0" applyFont="1" applyFill="1" applyAlignment="1">
      <alignment vertical="center"/>
    </xf>
    <xf numFmtId="0" fontId="118" fillId="41" borderId="10" xfId="0" applyFont="1" applyFill="1" applyBorder="1" applyAlignment="1">
      <alignment vertical="center"/>
    </xf>
    <xf numFmtId="0" fontId="116" fillId="41" borderId="10" xfId="0" applyFont="1" applyFill="1" applyBorder="1" applyAlignment="1">
      <alignment vertical="center"/>
    </xf>
    <xf numFmtId="0" fontId="11" fillId="41" borderId="10" xfId="0" applyFont="1" applyFill="1" applyBorder="1" applyAlignment="1">
      <alignment vertical="center"/>
    </xf>
    <xf numFmtId="0" fontId="0" fillId="41" borderId="10" xfId="0" applyFill="1" applyBorder="1" applyAlignment="1">
      <alignment vertical="center"/>
    </xf>
    <xf numFmtId="170" fontId="35" fillId="41" borderId="10" xfId="57" applyNumberFormat="1" applyFont="1" applyFill="1" applyBorder="1" applyAlignment="1" applyProtection="1">
      <alignment vertical="center"/>
      <protection/>
    </xf>
    <xf numFmtId="0" fontId="113" fillId="41" borderId="10" xfId="0" applyFont="1" applyFill="1" applyBorder="1" applyAlignment="1">
      <alignment vertical="center"/>
    </xf>
    <xf numFmtId="0" fontId="115" fillId="41" borderId="23" xfId="0" applyFont="1" applyFill="1" applyBorder="1" applyAlignment="1">
      <alignment vertical="center"/>
    </xf>
    <xf numFmtId="0" fontId="0" fillId="41" borderId="23" xfId="0" applyFill="1" applyBorder="1" applyAlignment="1">
      <alignment vertical="center"/>
    </xf>
    <xf numFmtId="0" fontId="0" fillId="41" borderId="23" xfId="0" applyFill="1" applyBorder="1" applyAlignment="1">
      <alignment/>
    </xf>
    <xf numFmtId="0" fontId="8" fillId="41" borderId="23" xfId="0" applyFont="1" applyFill="1" applyBorder="1" applyAlignment="1">
      <alignment vertical="center"/>
    </xf>
    <xf numFmtId="165" fontId="8" fillId="41" borderId="23" xfId="57" applyNumberFormat="1" applyFont="1" applyFill="1" applyBorder="1" applyAlignment="1" applyProtection="1">
      <alignment horizontal="right" vertical="center"/>
      <protection/>
    </xf>
    <xf numFmtId="169" fontId="8" fillId="41" borderId="23" xfId="44" applyNumberFormat="1" applyFont="1" applyFill="1" applyBorder="1" applyAlignment="1" applyProtection="1">
      <alignment vertical="center"/>
      <protection/>
    </xf>
    <xf numFmtId="0" fontId="8" fillId="41" borderId="23" xfId="0" applyFont="1" applyFill="1" applyBorder="1" applyAlignment="1">
      <alignment horizontal="center" vertical="center"/>
    </xf>
    <xf numFmtId="0" fontId="116" fillId="42" borderId="24" xfId="0" applyFont="1" applyFill="1" applyBorder="1" applyAlignment="1" applyProtection="1">
      <alignment horizontal="right" vertical="center" wrapText="1"/>
      <protection/>
    </xf>
    <xf numFmtId="168" fontId="116" fillId="42" borderId="24" xfId="57" applyNumberFormat="1" applyFont="1" applyFill="1" applyBorder="1" applyAlignment="1" applyProtection="1">
      <alignment horizontal="center" vertical="center" wrapText="1"/>
      <protection/>
    </xf>
    <xf numFmtId="165" fontId="116" fillId="42" borderId="24" xfId="57" applyNumberFormat="1" applyFont="1" applyFill="1" applyBorder="1" applyAlignment="1" applyProtection="1">
      <alignment horizontal="center" vertical="center" wrapText="1"/>
      <protection/>
    </xf>
    <xf numFmtId="0" fontId="10" fillId="0" borderId="10" xfId="0" applyFont="1" applyFill="1" applyBorder="1" applyAlignment="1" applyProtection="1">
      <alignment vertical="center"/>
      <protection/>
    </xf>
    <xf numFmtId="10" fontId="11" fillId="0" borderId="10" xfId="57" applyNumberFormat="1" applyFont="1" applyBorder="1" applyAlignment="1" applyProtection="1">
      <alignment vertical="center"/>
      <protection/>
    </xf>
    <xf numFmtId="169" fontId="48" fillId="43" borderId="10" xfId="44" applyNumberFormat="1" applyFont="1" applyFill="1" applyBorder="1" applyAlignment="1" applyProtection="1">
      <alignment vertical="center"/>
      <protection/>
    </xf>
    <xf numFmtId="169" fontId="51" fillId="0" borderId="10" xfId="44" applyNumberFormat="1" applyFont="1" applyBorder="1" applyAlignment="1" applyProtection="1">
      <alignment vertical="center"/>
      <protection/>
    </xf>
    <xf numFmtId="165" fontId="7" fillId="0" borderId="10" xfId="0" applyNumberFormat="1" applyFont="1" applyBorder="1" applyAlignment="1">
      <alignment/>
    </xf>
    <xf numFmtId="165" fontId="15" fillId="0" borderId="10" xfId="57" applyNumberFormat="1" applyFont="1" applyBorder="1" applyAlignment="1" applyProtection="1">
      <alignment vertical="center"/>
      <protection/>
    </xf>
    <xf numFmtId="169" fontId="16" fillId="0" borderId="10" xfId="44" applyNumberFormat="1" applyFont="1" applyBorder="1" applyAlignment="1" applyProtection="1">
      <alignment vertical="center"/>
      <protection/>
    </xf>
    <xf numFmtId="165" fontId="29" fillId="0" borderId="10" xfId="57" applyNumberFormat="1" applyFont="1" applyBorder="1" applyAlignment="1" applyProtection="1">
      <alignment vertical="center"/>
      <protection/>
    </xf>
    <xf numFmtId="0" fontId="12" fillId="0" borderId="10" xfId="0" applyFont="1" applyFill="1" applyBorder="1" applyAlignment="1">
      <alignment vertical="center"/>
    </xf>
    <xf numFmtId="169" fontId="17" fillId="0" borderId="10" xfId="44" applyNumberFormat="1" applyFont="1" applyBorder="1" applyAlignment="1" applyProtection="1">
      <alignment vertical="center"/>
      <protection/>
    </xf>
    <xf numFmtId="10" fontId="11" fillId="0" borderId="10" xfId="57" applyNumberFormat="1" applyFont="1" applyFill="1" applyBorder="1" applyAlignment="1" applyProtection="1">
      <alignment vertical="center"/>
      <protection/>
    </xf>
    <xf numFmtId="169" fontId="18" fillId="0" borderId="10" xfId="44" applyNumberFormat="1" applyFont="1" applyFill="1" applyBorder="1" applyAlignment="1" applyProtection="1">
      <alignment vertical="center"/>
      <protection/>
    </xf>
    <xf numFmtId="0" fontId="31" fillId="34" borderId="10" xfId="0" applyFont="1" applyFill="1" applyBorder="1" applyAlignment="1">
      <alignment vertical="center"/>
    </xf>
    <xf numFmtId="10" fontId="11" fillId="34" borderId="10" xfId="57" applyNumberFormat="1" applyFont="1" applyFill="1" applyBorder="1" applyAlignment="1" applyProtection="1">
      <alignment vertical="center"/>
      <protection/>
    </xf>
    <xf numFmtId="10" fontId="19" fillId="34" borderId="10" xfId="0" applyNumberFormat="1" applyFont="1" applyFill="1" applyBorder="1" applyAlignment="1">
      <alignment/>
    </xf>
    <xf numFmtId="10" fontId="20" fillId="34" borderId="10" xfId="57" applyNumberFormat="1" applyFont="1" applyFill="1" applyBorder="1" applyAlignment="1" applyProtection="1">
      <alignment vertical="center"/>
      <protection/>
    </xf>
    <xf numFmtId="169" fontId="18" fillId="34" borderId="10" xfId="44" applyNumberFormat="1" applyFont="1" applyFill="1" applyBorder="1" applyAlignment="1" applyProtection="1">
      <alignment vertical="center"/>
      <protection/>
    </xf>
    <xf numFmtId="165" fontId="30" fillId="34" borderId="10" xfId="57" applyNumberFormat="1" applyFont="1" applyFill="1" applyBorder="1" applyAlignment="1" applyProtection="1">
      <alignment vertical="center"/>
      <protection/>
    </xf>
    <xf numFmtId="0" fontId="12" fillId="44" borderId="10" xfId="0" applyFont="1" applyFill="1" applyBorder="1" applyAlignment="1">
      <alignment vertical="center"/>
    </xf>
    <xf numFmtId="10" fontId="49" fillId="43" borderId="10" xfId="57" applyNumberFormat="1" applyFont="1" applyFill="1" applyBorder="1" applyAlignment="1">
      <alignment vertical="center"/>
    </xf>
    <xf numFmtId="165" fontId="50" fillId="44" borderId="10" xfId="0" applyNumberFormat="1" applyFont="1" applyFill="1" applyBorder="1" applyAlignment="1">
      <alignment horizontal="right" vertical="center"/>
    </xf>
    <xf numFmtId="165" fontId="49" fillId="43" borderId="10" xfId="57" applyNumberFormat="1" applyFont="1" applyFill="1" applyBorder="1" applyAlignment="1">
      <alignment vertical="center"/>
    </xf>
    <xf numFmtId="0" fontId="10" fillId="44" borderId="10" xfId="0" applyFont="1" applyFill="1" applyBorder="1" applyAlignment="1">
      <alignment vertical="center"/>
    </xf>
    <xf numFmtId="169" fontId="62" fillId="43" borderId="10" xfId="44" applyNumberFormat="1" applyFont="1" applyFill="1" applyBorder="1" applyAlignment="1" applyProtection="1">
      <alignment vertical="center"/>
      <protection/>
    </xf>
    <xf numFmtId="165" fontId="5" fillId="0" borderId="10" xfId="0" applyNumberFormat="1" applyFont="1" applyBorder="1" applyAlignment="1">
      <alignment/>
    </xf>
    <xf numFmtId="169" fontId="53" fillId="0" borderId="10" xfId="44" applyNumberFormat="1" applyFont="1" applyBorder="1" applyAlignment="1" applyProtection="1">
      <alignment vertical="center"/>
      <protection/>
    </xf>
    <xf numFmtId="169" fontId="54" fillId="0" borderId="10" xfId="44" applyNumberFormat="1" applyFont="1" applyBorder="1" applyAlignment="1" applyProtection="1">
      <alignment vertical="center"/>
      <protection/>
    </xf>
    <xf numFmtId="165" fontId="82" fillId="0" borderId="10" xfId="57" applyNumberFormat="1" applyFont="1" applyBorder="1" applyAlignment="1" applyProtection="1">
      <alignment vertical="center"/>
      <protection/>
    </xf>
    <xf numFmtId="10" fontId="15" fillId="0" borderId="10" xfId="57" applyNumberFormat="1" applyFont="1" applyBorder="1" applyAlignment="1" applyProtection="1">
      <alignment vertical="center"/>
      <protection/>
    </xf>
    <xf numFmtId="165" fontId="16" fillId="0" borderId="10" xfId="57" applyNumberFormat="1" applyFont="1" applyBorder="1" applyAlignment="1" applyProtection="1">
      <alignment vertical="center"/>
      <protection/>
    </xf>
    <xf numFmtId="9" fontId="15" fillId="0" borderId="10" xfId="57" applyNumberFormat="1" applyFont="1" applyBorder="1" applyAlignment="1" applyProtection="1">
      <alignment vertical="center"/>
      <protection/>
    </xf>
    <xf numFmtId="0" fontId="31" fillId="39" borderId="10" xfId="0" applyFont="1" applyFill="1" applyBorder="1" applyAlignment="1">
      <alignment vertical="center"/>
    </xf>
    <xf numFmtId="169" fontId="53" fillId="45" borderId="10" xfId="44" applyNumberFormat="1" applyFont="1" applyFill="1" applyBorder="1" applyAlignment="1" applyProtection="1">
      <alignment vertical="center"/>
      <protection/>
    </xf>
    <xf numFmtId="165" fontId="15" fillId="39" borderId="10" xfId="57" applyNumberFormat="1" applyFont="1" applyFill="1" applyBorder="1" applyAlignment="1" applyProtection="1">
      <alignment vertical="center"/>
      <protection/>
    </xf>
    <xf numFmtId="169" fontId="16" fillId="39" borderId="10" xfId="44" applyNumberFormat="1" applyFont="1" applyFill="1" applyBorder="1" applyAlignment="1" applyProtection="1">
      <alignment vertical="center"/>
      <protection/>
    </xf>
    <xf numFmtId="165" fontId="16" fillId="39" borderId="10" xfId="57" applyNumberFormat="1" applyFont="1" applyFill="1" applyBorder="1" applyAlignment="1" applyProtection="1">
      <alignment vertical="center"/>
      <protection/>
    </xf>
    <xf numFmtId="9" fontId="15" fillId="0" borderId="10" xfId="57" applyNumberFormat="1" applyFont="1" applyFill="1" applyBorder="1" applyAlignment="1" applyProtection="1">
      <alignment vertical="center"/>
      <protection/>
    </xf>
    <xf numFmtId="169" fontId="16" fillId="0" borderId="10" xfId="44" applyNumberFormat="1" applyFont="1" applyFill="1" applyBorder="1" applyAlignment="1" applyProtection="1">
      <alignment vertical="center"/>
      <protection/>
    </xf>
    <xf numFmtId="165" fontId="16" fillId="0" borderId="10" xfId="57" applyNumberFormat="1" applyFont="1" applyFill="1" applyBorder="1" applyAlignment="1" applyProtection="1">
      <alignment vertical="center"/>
      <protection/>
    </xf>
    <xf numFmtId="0" fontId="10" fillId="0" borderId="10" xfId="0" applyFont="1" applyFill="1" applyBorder="1" applyAlignment="1">
      <alignment vertical="center"/>
    </xf>
    <xf numFmtId="10" fontId="15" fillId="39" borderId="10" xfId="57" applyNumberFormat="1" applyFont="1" applyFill="1" applyBorder="1" applyAlignment="1" applyProtection="1">
      <alignment vertical="center"/>
      <protection/>
    </xf>
    <xf numFmtId="0" fontId="31" fillId="0" borderId="10" xfId="0" applyFont="1" applyFill="1" applyBorder="1" applyAlignment="1">
      <alignment vertical="center"/>
    </xf>
    <xf numFmtId="0" fontId="55" fillId="46" borderId="10" xfId="0" applyFont="1" applyFill="1" applyBorder="1" applyAlignment="1">
      <alignment vertical="center"/>
    </xf>
    <xf numFmtId="165" fontId="5" fillId="46" borderId="10" xfId="0" applyNumberFormat="1" applyFont="1" applyFill="1" applyBorder="1" applyAlignment="1">
      <alignment/>
    </xf>
    <xf numFmtId="169" fontId="53" fillId="46" borderId="10" xfId="44" applyNumberFormat="1" applyFont="1" applyFill="1" applyBorder="1" applyAlignment="1" applyProtection="1">
      <alignment vertical="center"/>
      <protection/>
    </xf>
    <xf numFmtId="169" fontId="54" fillId="46" borderId="10" xfId="44" applyNumberFormat="1" applyFont="1" applyFill="1" applyBorder="1" applyAlignment="1" applyProtection="1">
      <alignment vertical="center"/>
      <protection/>
    </xf>
    <xf numFmtId="165" fontId="82" fillId="46" borderId="10" xfId="57" applyNumberFormat="1" applyFont="1" applyFill="1" applyBorder="1" applyAlignment="1" applyProtection="1">
      <alignment vertical="center"/>
      <protection/>
    </xf>
    <xf numFmtId="9" fontId="56" fillId="46" borderId="10" xfId="57" applyNumberFormat="1" applyFont="1" applyFill="1" applyBorder="1" applyAlignment="1" applyProtection="1">
      <alignment vertical="center"/>
      <protection/>
    </xf>
    <xf numFmtId="169" fontId="57" fillId="46" borderId="10" xfId="44" applyNumberFormat="1" applyFont="1" applyFill="1" applyBorder="1" applyAlignment="1" applyProtection="1">
      <alignment vertical="center"/>
      <protection/>
    </xf>
    <xf numFmtId="10" fontId="58" fillId="46" borderId="10" xfId="57" applyNumberFormat="1" applyFont="1" applyFill="1" applyBorder="1" applyAlignment="1" applyProtection="1">
      <alignment vertical="center"/>
      <protection/>
    </xf>
    <xf numFmtId="170" fontId="35" fillId="41" borderId="10" xfId="57" applyNumberFormat="1" applyFont="1" applyFill="1" applyBorder="1" applyAlignment="1" applyProtection="1">
      <alignment vertical="center"/>
      <protection/>
    </xf>
    <xf numFmtId="9" fontId="119" fillId="41" borderId="10" xfId="44" applyNumberFormat="1" applyFont="1" applyFill="1" applyBorder="1" applyAlignment="1">
      <alignment horizontal="center" vertical="center"/>
    </xf>
    <xf numFmtId="165" fontId="33" fillId="41" borderId="10" xfId="57" applyNumberFormat="1" applyFont="1" applyFill="1" applyBorder="1" applyAlignment="1">
      <alignment vertical="center"/>
    </xf>
    <xf numFmtId="2" fontId="32" fillId="41" borderId="10" xfId="0" applyNumberFormat="1" applyFont="1" applyFill="1" applyBorder="1" applyAlignment="1">
      <alignment vertical="center"/>
    </xf>
    <xf numFmtId="0" fontId="117" fillId="41" borderId="10" xfId="0" applyFont="1" applyFill="1" applyBorder="1" applyAlignment="1">
      <alignment horizontal="right"/>
    </xf>
    <xf numFmtId="1" fontId="119" fillId="41" borderId="10" xfId="44" applyNumberFormat="1" applyFont="1" applyFill="1" applyBorder="1" applyAlignment="1">
      <alignment horizontal="center" vertical="center"/>
    </xf>
    <xf numFmtId="1" fontId="120" fillId="41" borderId="10" xfId="44" applyNumberFormat="1" applyFont="1" applyFill="1" applyBorder="1" applyAlignment="1">
      <alignment horizontal="center" vertical="center"/>
    </xf>
    <xf numFmtId="165" fontId="43" fillId="47" borderId="25" xfId="57" applyNumberFormat="1" applyFont="1" applyFill="1" applyBorder="1" applyAlignment="1" applyProtection="1">
      <alignment vertical="center"/>
      <protection/>
    </xf>
    <xf numFmtId="165" fontId="44" fillId="47" borderId="26" xfId="57" applyNumberFormat="1" applyFont="1" applyFill="1" applyBorder="1" applyAlignment="1" applyProtection="1">
      <alignment vertical="center"/>
      <protection/>
    </xf>
    <xf numFmtId="0" fontId="45" fillId="47" borderId="27" xfId="0" applyFont="1" applyFill="1" applyBorder="1" applyAlignment="1">
      <alignment vertical="center"/>
    </xf>
    <xf numFmtId="165" fontId="46" fillId="47" borderId="22" xfId="57" applyNumberFormat="1" applyFont="1" applyFill="1" applyBorder="1" applyAlignment="1" applyProtection="1">
      <alignment vertical="center"/>
      <protection/>
    </xf>
    <xf numFmtId="0" fontId="45" fillId="47" borderId="0" xfId="0" applyFont="1" applyFill="1" applyBorder="1" applyAlignment="1">
      <alignment vertical="center"/>
    </xf>
    <xf numFmtId="0" fontId="45" fillId="47" borderId="28" xfId="0" applyFont="1" applyFill="1" applyBorder="1" applyAlignment="1">
      <alignment vertical="center"/>
    </xf>
    <xf numFmtId="165" fontId="46" fillId="47" borderId="29" xfId="57" applyNumberFormat="1" applyFont="1" applyFill="1" applyBorder="1" applyAlignment="1" applyProtection="1">
      <alignment vertical="center"/>
      <protection/>
    </xf>
    <xf numFmtId="165" fontId="46" fillId="47" borderId="30" xfId="57" applyNumberFormat="1" applyFont="1" applyFill="1" applyBorder="1" applyAlignment="1" applyProtection="1">
      <alignment vertical="center"/>
      <protection/>
    </xf>
    <xf numFmtId="165" fontId="46" fillId="47" borderId="31" xfId="57" applyNumberFormat="1" applyFont="1" applyFill="1" applyBorder="1" applyAlignment="1" applyProtection="1">
      <alignment vertical="center"/>
      <protection/>
    </xf>
    <xf numFmtId="169" fontId="107" fillId="0" borderId="10" xfId="44" applyNumberFormat="1" applyFont="1" applyFill="1" applyBorder="1" applyAlignment="1">
      <alignment/>
    </xf>
    <xf numFmtId="165" fontId="110" fillId="0" borderId="10" xfId="57" applyNumberFormat="1" applyFont="1" applyFill="1" applyBorder="1" applyAlignment="1">
      <alignment/>
    </xf>
    <xf numFmtId="165" fontId="91" fillId="48" borderId="10" xfId="0" applyNumberFormat="1" applyFont="1" applyFill="1" applyBorder="1" applyAlignment="1" applyProtection="1">
      <alignment horizontal="center"/>
      <protection locked="0"/>
    </xf>
    <xf numFmtId="165" fontId="91" fillId="48" borderId="32" xfId="0" applyNumberFormat="1" applyFont="1" applyFill="1" applyBorder="1" applyAlignment="1" applyProtection="1">
      <alignment horizontal="center"/>
      <protection locked="0"/>
    </xf>
    <xf numFmtId="165" fontId="33" fillId="48" borderId="10" xfId="44" applyNumberFormat="1" applyFont="1" applyFill="1" applyBorder="1" applyAlignment="1" applyProtection="1">
      <alignment horizontal="center" vertical="center"/>
      <protection locked="0"/>
    </xf>
    <xf numFmtId="169" fontId="33" fillId="48" borderId="10" xfId="44" applyNumberFormat="1" applyFont="1" applyFill="1" applyBorder="1" applyAlignment="1" applyProtection="1">
      <alignment horizontal="center" vertical="center"/>
      <protection locked="0"/>
    </xf>
    <xf numFmtId="2" fontId="33" fillId="48" borderId="10" xfId="44" applyNumberFormat="1" applyFont="1" applyFill="1" applyBorder="1" applyAlignment="1" applyProtection="1">
      <alignment horizontal="center" vertical="center"/>
      <protection locked="0"/>
    </xf>
    <xf numFmtId="9" fontId="33" fillId="48" borderId="10" xfId="44" applyNumberFormat="1" applyFont="1" applyFill="1" applyBorder="1" applyAlignment="1" applyProtection="1">
      <alignment horizontal="center" vertical="center"/>
      <protection locked="0"/>
    </xf>
    <xf numFmtId="1" fontId="33" fillId="48" borderId="10" xfId="44" applyNumberFormat="1" applyFont="1" applyFill="1" applyBorder="1" applyAlignment="1" applyProtection="1">
      <alignment horizontal="center" vertical="center"/>
      <protection locked="0"/>
    </xf>
    <xf numFmtId="0" fontId="0" fillId="0" borderId="0" xfId="0" applyFont="1" applyAlignment="1">
      <alignment/>
    </xf>
    <xf numFmtId="9" fontId="0" fillId="0" borderId="0" xfId="0" applyNumberFormat="1" applyAlignment="1">
      <alignment/>
    </xf>
    <xf numFmtId="0" fontId="84" fillId="40" borderId="0" xfId="0" applyFont="1" applyFill="1" applyAlignment="1">
      <alignment/>
    </xf>
    <xf numFmtId="0" fontId="21" fillId="34" borderId="0" xfId="0" applyFont="1" applyFill="1" applyAlignment="1">
      <alignment horizontal="center"/>
    </xf>
    <xf numFmtId="0" fontId="21" fillId="34" borderId="0" xfId="0" applyFont="1" applyFill="1" applyAlignment="1">
      <alignment horizontal="center"/>
    </xf>
    <xf numFmtId="0" fontId="21" fillId="34" borderId="22" xfId="0" applyFont="1" applyFill="1" applyBorder="1" applyAlignment="1">
      <alignment horizontal="center" vertical="center"/>
    </xf>
    <xf numFmtId="0" fontId="21" fillId="34" borderId="0" xfId="0" applyFont="1" applyFill="1" applyBorder="1" applyAlignment="1">
      <alignment horizontal="center" vertical="center"/>
    </xf>
    <xf numFmtId="0" fontId="119" fillId="41" borderId="33" xfId="0" applyFont="1" applyFill="1" applyBorder="1" applyAlignment="1">
      <alignment horizontal="center" vertical="center"/>
    </xf>
    <xf numFmtId="0" fontId="119" fillId="41" borderId="34" xfId="0" applyFont="1" applyFill="1" applyBorder="1" applyAlignment="1">
      <alignment horizontal="center" vertical="center"/>
    </xf>
    <xf numFmtId="0" fontId="119" fillId="41" borderId="35"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as a Share of GDP
</a:t>
            </a:r>
            <a:r>
              <a:rPr lang="en-US" cap="none" sz="800" b="1" i="0" u="none" baseline="0">
                <a:solidFill>
                  <a:srgbClr val="000000"/>
                </a:solidFill>
              </a:rPr>
              <a:t>
</a:t>
            </a:r>
            <a:r>
              <a:rPr lang="en-US" cap="none" sz="1600" b="1" i="0" u="none" baseline="0">
                <a:solidFill>
                  <a:srgbClr val="000000"/>
                </a:solidFill>
              </a:rPr>
              <a:t>(actual 1980-2009; projected 2010-2100)</a:t>
            </a:r>
          </a:p>
        </c:rich>
      </c:tx>
      <c:layout>
        <c:manualLayout>
          <c:xMode val="factor"/>
          <c:yMode val="factor"/>
          <c:x val="0.0245"/>
          <c:y val="-0.00975"/>
        </c:manualLayout>
      </c:layout>
      <c:spPr>
        <a:noFill/>
        <a:ln w="3175">
          <a:noFill/>
        </a:ln>
      </c:spPr>
    </c:title>
    <c:plotArea>
      <c:layout>
        <c:manualLayout>
          <c:xMode val="edge"/>
          <c:yMode val="edge"/>
          <c:x val="0.00875"/>
          <c:y val="0.1605"/>
          <c:w val="0.95775"/>
          <c:h val="0.819"/>
        </c:manualLayout>
      </c:layout>
      <c:lineChart>
        <c:grouping val="standard"/>
        <c:varyColors val="0"/>
        <c:ser>
          <c:idx val="0"/>
          <c:order val="0"/>
          <c:tx>
            <c:v>share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Matrix'!$B$10:$B$131</c:f>
              <c:numCache>
                <c:ptCount val="122"/>
                <c:pt idx="0">
                  <c:v>0.09102563183366194</c:v>
                </c:pt>
                <c:pt idx="1">
                  <c:v>0.09403592890934662</c:v>
                </c:pt>
                <c:pt idx="2">
                  <c:v>0.10160860215053763</c:v>
                </c:pt>
                <c:pt idx="3">
                  <c:v>0.10329770690191423</c:v>
                </c:pt>
                <c:pt idx="4">
                  <c:v>0.10227855181531578</c:v>
                </c:pt>
                <c:pt idx="5">
                  <c:v>0.1042286093405682</c:v>
                </c:pt>
                <c:pt idx="6">
                  <c:v>0.10571479788473603</c:v>
                </c:pt>
                <c:pt idx="7">
                  <c:v>0.10822871610929423</c:v>
                </c:pt>
                <c:pt idx="8">
                  <c:v>0.11246326266703241</c:v>
                </c:pt>
                <c:pt idx="9">
                  <c:v>0.11645904748012545</c:v>
                </c:pt>
                <c:pt idx="10">
                  <c:v>0.12304096086574416</c:v>
                </c:pt>
                <c:pt idx="11">
                  <c:v>0.13035757767808</c:v>
                </c:pt>
                <c:pt idx="12">
                  <c:v>0.13396800100983006</c:v>
                </c:pt>
                <c:pt idx="13">
                  <c:v>0.13707408297533571</c:v>
                </c:pt>
                <c:pt idx="14">
                  <c:v>0.13605327903622635</c:v>
                </c:pt>
                <c:pt idx="15">
                  <c:v>0.13740797815537265</c:v>
                </c:pt>
                <c:pt idx="16">
                  <c:v>0.13674205887244303</c:v>
                </c:pt>
                <c:pt idx="17">
                  <c:v>0.13551786423900872</c:v>
                </c:pt>
                <c:pt idx="18">
                  <c:v>0.13614839373499488</c:v>
                </c:pt>
                <c:pt idx="19">
                  <c:v>0.13651439299123905</c:v>
                </c:pt>
                <c:pt idx="20">
                  <c:v>0.13788326372618925</c:v>
                </c:pt>
                <c:pt idx="21">
                  <c:v>0.14510268562401263</c:v>
                </c:pt>
                <c:pt idx="22">
                  <c:v>0.15314231136580708</c:v>
                </c:pt>
                <c:pt idx="23">
                  <c:v>0.15805127269409727</c:v>
                </c:pt>
                <c:pt idx="24">
                  <c:v>0.15850590450111243</c:v>
                </c:pt>
                <c:pt idx="25">
                  <c:v>0.16</c:v>
                </c:pt>
                <c:pt idx="26">
                  <c:v>0.161</c:v>
                </c:pt>
                <c:pt idx="27">
                  <c:v>0.162</c:v>
                </c:pt>
                <c:pt idx="28">
                  <c:v>0.1664</c:v>
                </c:pt>
                <c:pt idx="29">
                  <c:v>0.1761</c:v>
                </c:pt>
                <c:pt idx="30">
                  <c:v>0.1785</c:v>
                </c:pt>
                <c:pt idx="31">
                  <c:v>0.17939105927112647</c:v>
                </c:pt>
                <c:pt idx="32">
                  <c:v>0.1802865666465928</c:v>
                </c:pt>
                <c:pt idx="33">
                  <c:v>0.1811865443310186</c:v>
                </c:pt>
                <c:pt idx="34">
                  <c:v>0.18209101463986746</c:v>
                </c:pt>
                <c:pt idx="35">
                  <c:v>0.183</c:v>
                </c:pt>
                <c:pt idx="36">
                  <c:v>0.1862574</c:v>
                </c:pt>
                <c:pt idx="37">
                  <c:v>0.18951479999999998</c:v>
                </c:pt>
                <c:pt idx="38">
                  <c:v>0.19277219999999998</c:v>
                </c:pt>
                <c:pt idx="39">
                  <c:v>0.19602959999999997</c:v>
                </c:pt>
                <c:pt idx="40">
                  <c:v>0.19928699999999996</c:v>
                </c:pt>
                <c:pt idx="41">
                  <c:v>0.20254439999999996</c:v>
                </c:pt>
                <c:pt idx="42">
                  <c:v>0.20580179999999995</c:v>
                </c:pt>
                <c:pt idx="43">
                  <c:v>0.20905919999999995</c:v>
                </c:pt>
                <c:pt idx="44">
                  <c:v>0.21231659999999994</c:v>
                </c:pt>
                <c:pt idx="45">
                  <c:v>0.21557399999999993</c:v>
                </c:pt>
                <c:pt idx="46">
                  <c:v>0.21916079999999993</c:v>
                </c:pt>
                <c:pt idx="47">
                  <c:v>0.22274759999999993</c:v>
                </c:pt>
                <c:pt idx="48">
                  <c:v>0.22633439999999994</c:v>
                </c:pt>
                <c:pt idx="49">
                  <c:v>0.22992119999999994</c:v>
                </c:pt>
                <c:pt idx="50">
                  <c:v>0.23350799999999994</c:v>
                </c:pt>
                <c:pt idx="51">
                  <c:v>0.23709479999999994</c:v>
                </c:pt>
                <c:pt idx="52">
                  <c:v>0.24068159999999994</c:v>
                </c:pt>
                <c:pt idx="53">
                  <c:v>0.24426839999999994</c:v>
                </c:pt>
                <c:pt idx="54">
                  <c:v>0.24785519999999994</c:v>
                </c:pt>
                <c:pt idx="55">
                  <c:v>0.25144199999999994</c:v>
                </c:pt>
                <c:pt idx="56">
                  <c:v>0.2547563920443593</c:v>
                </c:pt>
                <c:pt idx="57">
                  <c:v>0.2578484532359007</c:v>
                </c:pt>
                <c:pt idx="58">
                  <c:v>0.2607997332772646</c:v>
                </c:pt>
                <c:pt idx="59">
                  <c:v>0.2636410401025991</c:v>
                </c:pt>
                <c:pt idx="60">
                  <c:v>0.2663900004709436</c:v>
                </c:pt>
                <c:pt idx="61">
                  <c:v>0.2690584115418893</c:v>
                </c:pt>
                <c:pt idx="62">
                  <c:v>0.271654880237956</c:v>
                </c:pt>
                <c:pt idx="63">
                  <c:v>0.2741860421537388</c:v>
                </c:pt>
                <c:pt idx="64">
                  <c:v>0.27665721375854235</c:v>
                </c:pt>
                <c:pt idx="65">
                  <c:v>0.27907277743146225</c:v>
                </c:pt>
                <c:pt idx="66">
                  <c:v>0.2814364254631682</c:v>
                </c:pt>
                <c:pt idx="67">
                  <c:v>0.28375132321282126</c:v>
                </c:pt>
                <c:pt idx="68">
                  <c:v>0.2860202229071675</c:v>
                </c:pt>
                <c:pt idx="69">
                  <c:v>0.2882455457636863</c:v>
                </c:pt>
                <c:pt idx="70">
                  <c:v>0.29042944294405565</c:v>
                </c:pt>
                <c:pt idx="71">
                  <c:v>0.2925738418753876</c:v>
                </c:pt>
                <c:pt idx="72">
                  <c:v>0.29468048216665427</c:v>
                </c:pt>
                <c:pt idx="73">
                  <c:v>0.2967509439445126</c:v>
                </c:pt>
                <c:pt idx="74">
                  <c:v>0.2987866705488374</c:v>
                </c:pt>
                <c:pt idx="75">
                  <c:v>0.3007889869538028</c:v>
                </c:pt>
                <c:pt idx="76">
                  <c:v>0.30275911489667523</c:v>
                </c:pt>
                <c:pt idx="77">
                  <c:v>0.3046981854340154</c:v>
                </c:pt>
                <c:pt idx="78">
                  <c:v>0.3066072494615894</c:v>
                </c:pt>
                <c:pt idx="79">
                  <c:v>0.30848728660368496</c:v>
                </c:pt>
                <c:pt idx="80">
                  <c:v>0.31033921278292476</c:v>
                </c:pt>
                <c:pt idx="81">
                  <c:v>0.31216388671207934</c:v>
                </c:pt>
                <c:pt idx="82">
                  <c:v>0.3139621154974714</c:v>
                </c:pt>
                <c:pt idx="83">
                  <c:v>0.3157346595043443</c:v>
                </c:pt>
                <c:pt idx="84">
                  <c:v>0.3174822366045912</c:v>
                </c:pt>
                <c:pt idx="85">
                  <c:v>0.31920552590407614</c:v>
                </c:pt>
                <c:pt idx="86">
                  <c:v>0.32090517102870875</c:v>
                </c:pt>
                <c:pt idx="87">
                  <c:v>0.3225817830341967</c:v>
                </c:pt>
                <c:pt idx="88">
                  <c:v>0.32423594299309905</c:v>
                </c:pt>
                <c:pt idx="89">
                  <c:v>0.3258682043037514</c:v>
                </c:pt>
                <c:pt idx="90">
                  <c:v>0.3274790947583364</c:v>
                </c:pt>
                <c:pt idx="91">
                  <c:v>0.3290691184014455</c:v>
                </c:pt>
                <c:pt idx="92">
                  <c:v>0.33063875720563285</c:v>
                </c:pt>
                <c:pt idx="93">
                  <c:v>0.33218847258648004</c:v>
                </c:pt>
                <c:pt idx="94">
                  <c:v>0.33371870677639215</c:v>
                </c:pt>
                <c:pt idx="95">
                  <c:v>0.33507876634388706</c:v>
                </c:pt>
                <c:pt idx="96">
                  <c:v>0.3362742746368068</c:v>
                </c:pt>
                <c:pt idx="97">
                  <c:v>0.3373100895380537</c:v>
                </c:pt>
                <c:pt idx="98">
                  <c:v>0.33819036425725185</c:v>
                </c:pt>
                <c:pt idx="99">
                  <c:v>0.3389185971929638</c:v>
                </c:pt>
                <c:pt idx="100">
                  <c:v>0.33949767252304247</c:v>
                </c:pt>
                <c:pt idx="101">
                  <c:v>0.3399298927923542</c:v>
                </c:pt>
                <c:pt idx="102">
                  <c:v>0.3402170044653685</c:v>
                </c:pt>
                <c:pt idx="103">
                  <c:v>0.3403602171710357</c:v>
                </c:pt>
                <c:pt idx="104">
                  <c:v>0.3403602171710357</c:v>
                </c:pt>
                <c:pt idx="105">
                  <c:v>0.3403602171710357</c:v>
                </c:pt>
                <c:pt idx="106">
                  <c:v>0.3403602171710357</c:v>
                </c:pt>
                <c:pt idx="107">
                  <c:v>0.3403602171710357</c:v>
                </c:pt>
                <c:pt idx="108">
                  <c:v>0.3403602171710357</c:v>
                </c:pt>
                <c:pt idx="109">
                  <c:v>0.3403602171710357</c:v>
                </c:pt>
                <c:pt idx="110">
                  <c:v>0.3403602171710357</c:v>
                </c:pt>
                <c:pt idx="111">
                  <c:v>0.3403602171710357</c:v>
                </c:pt>
                <c:pt idx="112">
                  <c:v>0.3403602171710357</c:v>
                </c:pt>
                <c:pt idx="113">
                  <c:v>0.3403602171710357</c:v>
                </c:pt>
                <c:pt idx="114">
                  <c:v>0.3403602171710357</c:v>
                </c:pt>
                <c:pt idx="115">
                  <c:v>0.3403602171710357</c:v>
                </c:pt>
                <c:pt idx="116">
                  <c:v>0.3403602171710357</c:v>
                </c:pt>
                <c:pt idx="117">
                  <c:v>0.3403602171710357</c:v>
                </c:pt>
                <c:pt idx="118">
                  <c:v>0.3403602171710357</c:v>
                </c:pt>
                <c:pt idx="119">
                  <c:v>0.3403602171710357</c:v>
                </c:pt>
                <c:pt idx="120">
                  <c:v>0.3403602171710357</c:v>
                </c:pt>
                <c:pt idx="121">
                  <c:v>0.3403602171710357</c:v>
                </c:pt>
              </c:numCache>
            </c:numRef>
          </c:val>
          <c:smooth val="1"/>
        </c:ser>
        <c:ser>
          <c:idx val="1"/>
          <c:order val="1"/>
          <c:tx>
            <c:v>actual</c:v>
          </c:tx>
          <c:spPr>
            <a:ln w="38100">
              <a:solidFill>
                <a:srgbClr val="DD2D32"/>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'Projection Matrix'!$A$10:$A$39</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val>
          <c:smooth val="0"/>
        </c:ser>
        <c:ser>
          <c:idx val="2"/>
          <c:order val="2"/>
          <c:tx>
            <c:v>low</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Matrix'!$O$10:$O$131</c:f>
              <c:numCache>
                <c:ptCount val="122"/>
                <c:pt idx="35">
                  <c:v>0.17579618678184342</c:v>
                </c:pt>
                <c:pt idx="36">
                  <c:v>0.17749395603530774</c:v>
                </c:pt>
                <c:pt idx="37">
                  <c:v>0.1791533100247626</c:v>
                </c:pt>
                <c:pt idx="38">
                  <c:v>0.18077475473719992</c:v>
                </c:pt>
                <c:pt idx="39">
                  <c:v>0.18235879052239665</c:v>
                </c:pt>
                <c:pt idx="40">
                  <c:v>0.18390591215072705</c:v>
                </c:pt>
                <c:pt idx="41">
                  <c:v>0.18541660887041073</c:v>
                </c:pt>
                <c:pt idx="42">
                  <c:v>0.18689136446420182</c:v>
                </c:pt>
                <c:pt idx="43">
                  <c:v>0.18833065730552456</c:v>
                </c:pt>
                <c:pt idx="44">
                  <c:v>0.1897349604140604</c:v>
                </c:pt>
                <c:pt idx="45">
                  <c:v>0.19110474151079215</c:v>
                </c:pt>
                <c:pt idx="46">
                  <c:v>0.1927301376280629</c:v>
                </c:pt>
                <c:pt idx="47">
                  <c:v>0.1943172967040006</c:v>
                </c:pt>
                <c:pt idx="48">
                  <c:v>0.1958667265059151</c:v>
                </c:pt>
                <c:pt idx="49">
                  <c:v>0.19737892912400995</c:v>
                </c:pt>
                <c:pt idx="50">
                  <c:v>0.19885440102971888</c:v>
                </c:pt>
                <c:pt idx="51">
                  <c:v>0.20029363313347254</c:v>
                </c:pt>
                <c:pt idx="52">
                  <c:v>0.20169711084190017</c:v>
                </c:pt>
                <c:pt idx="53">
                  <c:v>0.20306531411447248</c:v>
                </c:pt>
                <c:pt idx="54">
                  <c:v>0.20439871751958977</c:v>
                </c:pt>
                <c:pt idx="55">
                  <c:v>0.20569779029012183</c:v>
                </c:pt>
                <c:pt idx="56">
                  <c:v>0.20674192971167193</c:v>
                </c:pt>
                <c:pt idx="57">
                  <c:v>0.207577213966787</c:v>
                </c:pt>
                <c:pt idx="58">
                  <c:v>0.2082734750072286</c:v>
                </c:pt>
                <c:pt idx="59">
                  <c:v>0.2088581894145035</c:v>
                </c:pt>
                <c:pt idx="60">
                  <c:v>0.2093476466698781</c:v>
                </c:pt>
                <c:pt idx="61">
                  <c:v>0.20975311089779636</c:v>
                </c:pt>
                <c:pt idx="62">
                  <c:v>0.21008305314370554</c:v>
                </c:pt>
                <c:pt idx="63">
                  <c:v>0.2103441914537783</c:v>
                </c:pt>
                <c:pt idx="64">
                  <c:v>0.21054205232673387</c:v>
                </c:pt>
                <c:pt idx="65">
                  <c:v>0.21068130512346211</c:v>
                </c:pt>
                <c:pt idx="66">
                  <c:v>0.21076597588562995</c:v>
                </c:pt>
                <c:pt idx="67">
                  <c:v>0.21079959160150322</c:v>
                </c:pt>
                <c:pt idx="68">
                  <c:v>0.21078528174585257</c:v>
                </c:pt>
                <c:pt idx="69">
                  <c:v>0.21072585223018156</c:v>
                </c:pt>
                <c:pt idx="70">
                  <c:v>0.210623840799536</c:v>
                </c:pt>
                <c:pt idx="71">
                  <c:v>0.21048155952528322</c:v>
                </c:pt>
                <c:pt idx="72">
                  <c:v>0.21030112806435078</c:v>
                </c:pt>
                <c:pt idx="73">
                  <c:v>0.21008450014872349</c:v>
                </c:pt>
                <c:pt idx="74">
                  <c:v>0.2098334850059655</c:v>
                </c:pt>
                <c:pt idx="75">
                  <c:v>0.20954976491370964</c:v>
                </c:pt>
                <c:pt idx="76">
                  <c:v>0.20923490975728612</c:v>
                </c:pt>
                <c:pt idx="77">
                  <c:v>0.20889038923045683</c:v>
                </c:pt>
              </c:numCache>
            </c:numRef>
          </c:val>
          <c:smooth val="0"/>
        </c:ser>
        <c:ser>
          <c:idx val="3"/>
          <c:order val="3"/>
          <c:tx>
            <c:v>Hi</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Matrix'!$P$10:$P$131</c:f>
              <c:numCache>
                <c:ptCount val="122"/>
                <c:pt idx="35">
                  <c:v>0.188556276467263</c:v>
                </c:pt>
                <c:pt idx="36">
                  <c:v>0.19306405365751056</c:v>
                </c:pt>
                <c:pt idx="37">
                  <c:v>0.19761913614808824</c:v>
                </c:pt>
                <c:pt idx="38">
                  <c:v>0.20222192932262123</c:v>
                </c:pt>
                <c:pt idx="39">
                  <c:v>0.20687284172634726</c:v>
                </c:pt>
                <c:pt idx="40">
                  <c:v>0.21157228508946238</c:v>
                </c:pt>
                <c:pt idx="41">
                  <c:v>0.21632067435063274</c:v>
                </c:pt>
                <c:pt idx="42">
                  <c:v>0.22111842768067394</c:v>
                </c:pt>
                <c:pt idx="43">
                  <c:v>0.225965966506399</c:v>
                </c:pt>
                <c:pt idx="44">
                  <c:v>0.23086371553463625</c:v>
                </c:pt>
                <c:pt idx="45">
                  <c:v>0.2358121027764181</c:v>
                </c:pt>
                <c:pt idx="46">
                  <c:v>0.2411740456118409</c:v>
                </c:pt>
                <c:pt idx="47">
                  <c:v>0.24659184252558877</c:v>
                </c:pt>
                <c:pt idx="48">
                  <c:v>0.2520659707366596</c:v>
                </c:pt>
                <c:pt idx="49">
                  <c:v>0.2575969111799324</c:v>
                </c:pt>
                <c:pt idx="50">
                  <c:v>0.26318514853357794</c:v>
                </c:pt>
                <c:pt idx="51">
                  <c:v>0.2688311712466647</c:v>
                </c:pt>
                <c:pt idx="52">
                  <c:v>0.27453547156696134</c:v>
                </c:pt>
                <c:pt idx="53">
                  <c:v>0.28029854556893663</c:v>
                </c:pt>
                <c:pt idx="54">
                  <c:v>0.28612089318195927</c:v>
                </c:pt>
                <c:pt idx="55">
                  <c:v>0.2920030182186977</c:v>
                </c:pt>
                <c:pt idx="56">
                  <c:v>0.2976271792293391</c:v>
                </c:pt>
                <c:pt idx="57">
                  <c:v>0.3030470145716219</c:v>
                </c:pt>
                <c:pt idx="58">
                  <c:v>0.30835472176144385</c:v>
                </c:pt>
                <c:pt idx="59">
                  <c:v>0.31358440553381683</c:v>
                </c:pt>
                <c:pt idx="60">
                  <c:v>0.3187552454077599</c:v>
                </c:pt>
                <c:pt idx="61">
                  <c:v>0.32387988485877156</c:v>
                </c:pt>
                <c:pt idx="62">
                  <c:v>0.3289674243356971</c:v>
                </c:pt>
                <c:pt idx="63">
                  <c:v>0.33402479518530215</c:v>
                </c:pt>
                <c:pt idx="64">
                  <c:v>0.3390574904796961</c:v>
                </c:pt>
                <c:pt idx="65">
                  <c:v>0.34406999397330496</c:v>
                </c:pt>
                <c:pt idx="66">
                  <c:v>0.34906605038602473</c:v>
                </c:pt>
                <c:pt idx="67">
                  <c:v>0.35404884511249013</c:v>
                </c:pt>
                <c:pt idx="68">
                  <c:v>0.3590211288646112</c:v>
                </c:pt>
                <c:pt idx="69">
                  <c:v>0.36398530712090904</c:v>
                </c:pt>
                <c:pt idx="70">
                  <c:v>0.36894350615240634</c:v>
                </c:pt>
                <c:pt idx="71">
                  <c:v>0.3738976229248307</c:v>
                </c:pt>
                <c:pt idx="72">
                  <c:v>0.3788493635821723</c:v>
                </c:pt>
                <c:pt idx="73">
                  <c:v>0.38380027364472774</c:v>
                </c:pt>
                <c:pt idx="74">
                  <c:v>0.3887517620672505</c:v>
                </c:pt>
                <c:pt idx="75">
                  <c:v>0.3937051206627332</c:v>
                </c:pt>
                <c:pt idx="76">
                  <c:v>0.39866153997096876</c:v>
                </c:pt>
                <c:pt idx="77">
                  <c:v>0.4036221223601391</c:v>
                </c:pt>
              </c:numCache>
            </c:numRef>
          </c:val>
          <c:smooth val="0"/>
        </c:ser>
        <c:marker val="1"/>
        <c:axId val="18490459"/>
        <c:axId val="32196404"/>
      </c:lineChart>
      <c:catAx>
        <c:axId val="1849045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defRPr>
            </a:pPr>
          </a:p>
        </c:txPr>
        <c:crossAx val="32196404"/>
        <c:crosses val="autoZero"/>
        <c:auto val="1"/>
        <c:lblOffset val="100"/>
        <c:tickLblSkip val="10"/>
        <c:noMultiLvlLbl val="0"/>
      </c:catAx>
      <c:valAx>
        <c:axId val="32196404"/>
        <c:scaling>
          <c:orientation val="minMax"/>
          <c:max val="0.55"/>
          <c:min val="0"/>
        </c:scaling>
        <c:axPos val="l"/>
        <c:delete val="0"/>
        <c:numFmt formatCode="0%" sourceLinked="0"/>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490459"/>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800" b="1" i="0" u="none" baseline="0">
                <a:solidFill>
                  <a:srgbClr val="000000"/>
                </a:solidFill>
              </a:rPr>
              <a:t>Health Expenditures per capita
</a:t>
            </a:r>
            <a:r>
              <a:rPr lang="en-US" cap="none" sz="1600" b="1" i="0" u="none" baseline="0">
                <a:solidFill>
                  <a:srgbClr val="000000"/>
                </a:solidFill>
              </a:rPr>
              <a:t>(Actual 1980 to 2009; Projected 2010 - 2100)</a:t>
            </a:r>
          </a:p>
        </c:rich>
      </c:tx>
      <c:layout>
        <c:manualLayout>
          <c:xMode val="factor"/>
          <c:yMode val="factor"/>
          <c:x val="-0.001"/>
          <c:y val="-0.0065"/>
        </c:manualLayout>
      </c:layout>
      <c:spPr>
        <a:noFill/>
        <a:ln w="3175">
          <a:noFill/>
        </a:ln>
      </c:spPr>
    </c:title>
    <c:plotArea>
      <c:layout>
        <c:manualLayout>
          <c:xMode val="edge"/>
          <c:yMode val="edge"/>
          <c:x val="0.004"/>
          <c:y val="0.07275"/>
          <c:w val="0.67"/>
          <c:h val="0.90575"/>
        </c:manualLayout>
      </c:layout>
      <c:lineChart>
        <c:grouping val="standard"/>
        <c:varyColors val="0"/>
        <c:ser>
          <c:idx val="0"/>
          <c:order val="0"/>
          <c:tx>
            <c:v>health$</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Matrix'!$D$10:$D$131</c:f>
              <c:numCache>
                <c:ptCount val="122"/>
                <c:pt idx="0">
                  <c:v>1062.1106088205481</c:v>
                </c:pt>
                <c:pt idx="1">
                  <c:v>1218.5305348468469</c:v>
                </c:pt>
                <c:pt idx="2">
                  <c:v>1359.5015792903016</c:v>
                </c:pt>
                <c:pt idx="3">
                  <c:v>1484.058187051984</c:v>
                </c:pt>
                <c:pt idx="4">
                  <c:v>1619.2359009018721</c:v>
                </c:pt>
                <c:pt idx="5">
                  <c:v>1755.379169850688</c:v>
                </c:pt>
                <c:pt idx="6">
                  <c:v>1865.4524511284537</c:v>
                </c:pt>
                <c:pt idx="7">
                  <c:v>2012.216826165475</c:v>
                </c:pt>
                <c:pt idx="8">
                  <c:v>2230.432278523151</c:v>
                </c:pt>
                <c:pt idx="9">
                  <c:v>2458.303281870105</c:v>
                </c:pt>
                <c:pt idx="10">
                  <c:v>2717.0720483827477</c:v>
                </c:pt>
                <c:pt idx="11">
                  <c:v>2939.149721136135</c:v>
                </c:pt>
                <c:pt idx="12">
                  <c:v>3153.5029530981005</c:v>
                </c:pt>
                <c:pt idx="13">
                  <c:v>3348.5450830815103</c:v>
                </c:pt>
                <c:pt idx="14">
                  <c:v>3493.3783479206763</c:v>
                </c:pt>
                <c:pt idx="15">
                  <c:v>3652.6949392437587</c:v>
                </c:pt>
                <c:pt idx="16">
                  <c:v>3801.390424478636</c:v>
                </c:pt>
                <c:pt idx="17">
                  <c:v>3961.6725709006464</c:v>
                </c:pt>
                <c:pt idx="18">
                  <c:v>4147.059149894779</c:v>
                </c:pt>
                <c:pt idx="19">
                  <c:v>4366.2401573513835</c:v>
                </c:pt>
                <c:pt idx="20">
                  <c:v>4624.043368765098</c:v>
                </c:pt>
                <c:pt idx="21">
                  <c:v>4972.608759478024</c:v>
                </c:pt>
                <c:pt idx="22">
                  <c:v>5372.348570434122</c:v>
                </c:pt>
                <c:pt idx="23">
                  <c:v>5767.26060589558</c:v>
                </c:pt>
                <c:pt idx="24">
                  <c:v>6110.032666014939</c:v>
                </c:pt>
                <c:pt idx="25">
                  <c:v>6464.414560643806</c:v>
                </c:pt>
                <c:pt idx="26">
                  <c:v>6819.957361479215</c:v>
                </c:pt>
                <c:pt idx="27">
                  <c:v>7167.775186914655</c:v>
                </c:pt>
                <c:pt idx="28">
                  <c:v>7440.150644017413</c:v>
                </c:pt>
                <c:pt idx="29">
                  <c:v>7670.795313981952</c:v>
                </c:pt>
                <c:pt idx="30">
                  <c:v>7900.919173401411</c:v>
                </c:pt>
                <c:pt idx="31">
                  <c:v>8205.104561577366</c:v>
                </c:pt>
                <c:pt idx="32">
                  <c:v>8479.15505393405</c:v>
                </c:pt>
                <c:pt idx="33">
                  <c:v>8870.892017425804</c:v>
                </c:pt>
                <c:pt idx="34">
                  <c:v>9522.9025807066</c:v>
                </c:pt>
                <c:pt idx="35">
                  <c:v>10000</c:v>
                </c:pt>
                <c:pt idx="36">
                  <c:v>10609.801649999998</c:v>
                </c:pt>
                <c:pt idx="37">
                  <c:v>11253.346163752494</c:v>
                </c:pt>
                <c:pt idx="38">
                  <c:v>11932.399053071964</c:v>
                </c:pt>
                <c:pt idx="39">
                  <c:v>12648.814900323634</c:v>
                </c:pt>
                <c:pt idx="40">
                  <c:v>13404.541738349213</c:v>
                </c:pt>
                <c:pt idx="41">
                  <c:v>14201.62564171296</c:v>
                </c:pt>
                <c:pt idx="42">
                  <c:v>15042.215539315266</c:v>
                </c:pt>
                <c:pt idx="43">
                  <c:v>15928.568258893103</c:v>
                </c:pt>
                <c:pt idx="44">
                  <c:v>16863.053814420833</c:v>
                </c:pt>
                <c:pt idx="45">
                  <c:v>17848.160947941917</c:v>
                </c:pt>
                <c:pt idx="46">
                  <c:v>18933.639818847696</c:v>
                </c:pt>
                <c:pt idx="47">
                  <c:v>20079.754935033965</c:v>
                </c:pt>
                <c:pt idx="48">
                  <c:v>21289.726469568697</c:v>
                </c:pt>
                <c:pt idx="49">
                  <c:v>22566.939960264583</c:v>
                </c:pt>
                <c:pt idx="50">
                  <c:v>23914.954600807803</c:v>
                </c:pt>
                <c:pt idx="51">
                  <c:v>25337.511940206674</c:v>
                </c:pt>
                <c:pt idx="52">
                  <c:v>26838.545010390862</c:v>
                </c:pt>
                <c:pt idx="53">
                  <c:v>28422.187902744325</c:v>
                </c:pt>
                <c:pt idx="54">
                  <c:v>30092.785815352978</c:v>
                </c:pt>
                <c:pt idx="55">
                  <c:v>31854.905593793243</c:v>
                </c:pt>
                <c:pt idx="56">
                  <c:v>33644.44799429459</c:v>
                </c:pt>
                <c:pt idx="57">
                  <c:v>35497.90034430696</c:v>
                </c:pt>
                <c:pt idx="58">
                  <c:v>37427.868585217984</c:v>
                </c:pt>
                <c:pt idx="59">
                  <c:v>39441.260591350445</c:v>
                </c:pt>
                <c:pt idx="60">
                  <c:v>41543.73191743254</c:v>
                </c:pt>
                <c:pt idx="61">
                  <c:v>43740.52386047366</c:v>
                </c:pt>
                <c:pt idx="62">
                  <c:v>46036.75834200436</c:v>
                </c:pt>
                <c:pt idx="63">
                  <c:v>48437.57410025741</c:v>
                </c:pt>
                <c:pt idx="64">
                  <c:v>50948.20154374799</c:v>
                </c:pt>
                <c:pt idx="65">
                  <c:v>53574.009667521386</c:v>
                </c:pt>
                <c:pt idx="66">
                  <c:v>56320.5388039151</c:v>
                </c:pt>
                <c:pt idx="67">
                  <c:v>59193.52565126407</c:v>
                </c:pt>
                <c:pt idx="68">
                  <c:v>62198.92389153427</c:v>
                </c:pt>
                <c:pt idx="69">
                  <c:v>65342.922227810086</c:v>
                </c:pt>
                <c:pt idx="70">
                  <c:v>68631.9609168164</c:v>
                </c:pt>
                <c:pt idx="71">
                  <c:v>72072.74746109454</c:v>
                </c:pt>
                <c:pt idx="72">
                  <c:v>75672.27189085128</c:v>
                </c:pt>
                <c:pt idx="73">
                  <c:v>79437.82192572432</c:v>
                </c:pt>
                <c:pt idx="74">
                  <c:v>83376.99822048045</c:v>
                </c:pt>
                <c:pt idx="75">
                  <c:v>87497.72984390995</c:v>
                </c:pt>
                <c:pt idx="76">
                  <c:v>91808.29010458253</c:v>
                </c:pt>
                <c:pt idx="77">
                  <c:v>96317.312813551</c:v>
                </c:pt>
                <c:pt idx="78">
                  <c:v>101033.80905826086</c:v>
                </c:pt>
                <c:pt idx="79">
                  <c:v>105967.18455121908</c:v>
                </c:pt>
                <c:pt idx="80">
                  <c:v>111127.2576097365</c:v>
                </c:pt>
                <c:pt idx="81">
                  <c:v>116524.27781821198</c:v>
                </c:pt>
                <c:pt idx="82">
                  <c:v>122168.94542127068</c:v>
                </c:pt>
                <c:pt idx="83">
                  <c:v>128072.43149412525</c:v>
                </c:pt>
                <c:pt idx="84">
                  <c:v>134246.39893548068</c:v>
                </c:pt>
                <c:pt idx="85">
                  <c:v>140703.02432792072</c:v>
                </c:pt>
                <c:pt idx="86">
                  <c:v>147455.02071084702</c:v>
                </c:pt>
                <c:pt idx="87">
                  <c:v>154515.66131157384</c:v>
                </c:pt>
                <c:pt idx="88">
                  <c:v>161898.80428103794</c:v>
                </c:pt>
                <c:pt idx="89">
                  <c:v>169618.9184817045</c:v>
                </c:pt>
                <c:pt idx="90">
                  <c:v>177691.1103765961</c:v>
                </c:pt>
                <c:pt idx="91">
                  <c:v>186131.15206991328</c:v>
                </c:pt>
                <c:pt idx="92">
                  <c:v>194955.51055142944</c:v>
                </c:pt>
                <c:pt idx="93">
                  <c:v>204181.37819871804</c:v>
                </c:pt>
                <c:pt idx="94">
                  <c:v>213826.70459328854</c:v>
                </c:pt>
                <c:pt idx="95">
                  <c:v>223809.29358359647</c:v>
                </c:pt>
                <c:pt idx="96">
                  <c:v>234139.4915421215</c:v>
                </c:pt>
                <c:pt idx="97">
                  <c:v>244827.4876279993</c:v>
                </c:pt>
                <c:pt idx="98">
                  <c:v>255883.26954132054</c:v>
                </c:pt>
                <c:pt idx="99">
                  <c:v>267316.569817533</c:v>
                </c:pt>
                <c:pt idx="100">
                  <c:v>279136.8019240663</c:v>
                </c:pt>
                <c:pt idx="101">
                  <c:v>291352.9852028527</c:v>
                </c:pt>
                <c:pt idx="102">
                  <c:v>303973.65747749706</c:v>
                </c:pt>
                <c:pt idx="103">
                  <c:v>317006.7739026977</c:v>
                </c:pt>
                <c:pt idx="104">
                  <c:v>330459.5903668065</c:v>
                </c:pt>
                <c:pt idx="105">
                  <c:v>344483.30400320253</c:v>
                </c:pt>
                <c:pt idx="106">
                  <c:v>359102.1419751864</c:v>
                </c:pt>
                <c:pt idx="107">
                  <c:v>374341.3595741874</c:v>
                </c:pt>
                <c:pt idx="108">
                  <c:v>390227.28385043703</c:v>
                </c:pt>
                <c:pt idx="109">
                  <c:v>406787.3590951979</c:v>
                </c:pt>
                <c:pt idx="110">
                  <c:v>424050.1942531208</c:v>
                </c:pt>
                <c:pt idx="111">
                  <c:v>442045.61234664044</c:v>
                </c:pt>
                <c:pt idx="112">
                  <c:v>460804.70199779473</c:v>
                </c:pt>
                <c:pt idx="113">
                  <c:v>480359.87113647506</c:v>
                </c:pt>
                <c:pt idx="114">
                  <c:v>500744.90298789355</c:v>
                </c:pt>
                <c:pt idx="115">
                  <c:v>521995.0144359907</c:v>
                </c:pt>
                <c:pt idx="116">
                  <c:v>544146.9168636107</c:v>
                </c:pt>
                <c:pt idx="117">
                  <c:v>567238.8795745517</c:v>
                </c:pt>
                <c:pt idx="118">
                  <c:v>591310.7959070569</c:v>
                </c:pt>
                <c:pt idx="119">
                  <c:v>616404.2521529646</c:v>
                </c:pt>
                <c:pt idx="120">
                  <c:v>642562.5994015797</c:v>
                </c:pt>
                <c:pt idx="121">
                  <c:v>669831.0284323845</c:v>
                </c:pt>
              </c:numCache>
            </c:numRef>
          </c:val>
          <c:smooth val="0"/>
        </c:ser>
        <c:ser>
          <c:idx val="1"/>
          <c:order val="1"/>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Matrix'!$R$10:$R$87</c:f>
              <c:numCache>
                <c:ptCount val="78"/>
                <c:pt idx="35">
                  <c:v>11376.030883627158</c:v>
                </c:pt>
                <c:pt idx="36">
                  <c:v>12385.004814353564</c:v>
                </c:pt>
                <c:pt idx="37">
                  <c:v>13479.343655028546</c:v>
                </c:pt>
                <c:pt idx="38">
                  <c:v>14666.044176255347</c:v>
                </c:pt>
                <c:pt idx="39">
                  <c:v>15952.66368974904</c:v>
                </c:pt>
                <c:pt idx="40">
                  <c:v>17347.364189982032</c:v>
                </c:pt>
                <c:pt idx="41">
                  <c:v>18858.959925539148</c:v>
                </c:pt>
                <c:pt idx="42">
                  <c:v>20496.968663806652</c:v>
                </c:pt>
                <c:pt idx="43">
                  <c:v>22271.66693270442</c:v>
                </c:pt>
                <c:pt idx="44">
                  <c:v>24194.149544774853</c:v>
                </c:pt>
                <c:pt idx="45">
                  <c:v>26276.393732178865</c:v>
                </c:pt>
                <c:pt idx="46">
                  <c:v>28602.5366549809</c:v>
                </c:pt>
                <c:pt idx="47">
                  <c:v>31126.26426363258</c:v>
                </c:pt>
                <c:pt idx="48">
                  <c:v>33863.88856375552</c:v>
                </c:pt>
                <c:pt idx="49">
                  <c:v>36833.04050533796</c:v>
                </c:pt>
                <c:pt idx="50">
                  <c:v>40052.77494973762</c:v>
                </c:pt>
                <c:pt idx="51">
                  <c:v>43543.68388654806</c:v>
                </c:pt>
                <c:pt idx="52">
                  <c:v>47328.01854220064</c:v>
                </c:pt>
                <c:pt idx="53">
                  <c:v>51429.821071699975</c:v>
                </c:pt>
                <c:pt idx="54">
                  <c:v>55875.066578210426</c:v>
                </c:pt>
                <c:pt idx="55">
                  <c:v>60691.816262614135</c:v>
                </c:pt>
                <c:pt idx="56">
                  <c:v>65775.6838088971</c:v>
                </c:pt>
                <c:pt idx="57">
                  <c:v>71211.93436033002</c:v>
                </c:pt>
                <c:pt idx="58">
                  <c:v>77044.8059086715</c:v>
                </c:pt>
                <c:pt idx="59">
                  <c:v>83310.01430684904</c:v>
                </c:pt>
                <c:pt idx="60">
                  <c:v>90043.02599949147</c:v>
                </c:pt>
                <c:pt idx="61">
                  <c:v>97280.70448833749</c:v>
                </c:pt>
                <c:pt idx="62">
                  <c:v>105061.98811205645</c:v>
                </c:pt>
                <c:pt idx="63">
                  <c:v>113428.29816419724</c:v>
                </c:pt>
                <c:pt idx="64">
                  <c:v>122423.85265170212</c:v>
                </c:pt>
                <c:pt idx="65">
                  <c:v>132095.9457503395</c:v>
                </c:pt>
                <c:pt idx="66">
                  <c:v>142495.2180624403</c:v>
                </c:pt>
                <c:pt idx="67">
                  <c:v>153675.92991255157</c:v>
                </c:pt>
                <c:pt idx="68">
                  <c:v>165696.24451591872</c:v>
                </c:pt>
                <c:pt idx="69">
                  <c:v>178618.52537394487</c:v>
                </c:pt>
                <c:pt idx="70">
                  <c:v>192509.65104301894</c:v>
                </c:pt>
                <c:pt idx="71">
                  <c:v>207441.3498207911</c:v>
                </c:pt>
                <c:pt idx="72">
                  <c:v>223490.55660153998</c:v>
                </c:pt>
                <c:pt idx="73">
                  <c:v>240739.79402927565</c:v>
                </c:pt>
                <c:pt idx="74">
                  <c:v>259277.5800529752</c:v>
                </c:pt>
                <c:pt idx="75">
                  <c:v>279198.86402559205</c:v>
                </c:pt>
                <c:pt idx="76">
                  <c:v>300605.49356684147</c:v>
                </c:pt>
                <c:pt idx="77">
                  <c:v>323606.7145178252</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'Projection Matrix'!$A$10:$A$131</c:f>
              <c:numCache>
                <c:ptCount val="12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c:v>
                </c:pt>
                <c:pt idx="42">
                  <c:v>2022</c:v>
                </c:pt>
                <c:pt idx="43">
                  <c:v>2023</c:v>
                </c:pt>
                <c:pt idx="44">
                  <c:v>2024</c:v>
                </c:pt>
                <c:pt idx="45">
                  <c:v>2025</c:v>
                </c:pt>
                <c:pt idx="46">
                  <c:v>2026</c:v>
                </c:pt>
                <c:pt idx="47">
                  <c:v>2027</c:v>
                </c:pt>
                <c:pt idx="48">
                  <c:v>2028</c:v>
                </c:pt>
                <c:pt idx="49">
                  <c:v>2029</c:v>
                </c:pt>
                <c:pt idx="50">
                  <c:v>2030</c:v>
                </c:pt>
                <c:pt idx="51">
                  <c:v>2031</c:v>
                </c:pt>
                <c:pt idx="52">
                  <c:v>2032</c:v>
                </c:pt>
                <c:pt idx="53">
                  <c:v>2033</c:v>
                </c:pt>
                <c:pt idx="54">
                  <c:v>2034</c:v>
                </c:pt>
                <c:pt idx="55">
                  <c:v>2035</c:v>
                </c:pt>
                <c:pt idx="56">
                  <c:v>2036</c:v>
                </c:pt>
                <c:pt idx="57">
                  <c:v>2037</c:v>
                </c:pt>
                <c:pt idx="58">
                  <c:v>2038</c:v>
                </c:pt>
                <c:pt idx="59">
                  <c:v>2039</c:v>
                </c:pt>
                <c:pt idx="60">
                  <c:v>2040</c:v>
                </c:pt>
                <c:pt idx="61">
                  <c:v>2041</c:v>
                </c:pt>
                <c:pt idx="62">
                  <c:v>2042</c:v>
                </c:pt>
                <c:pt idx="63">
                  <c:v>2043</c:v>
                </c:pt>
                <c:pt idx="64">
                  <c:v>2044</c:v>
                </c:pt>
                <c:pt idx="65">
                  <c:v>2045</c:v>
                </c:pt>
                <c:pt idx="66">
                  <c:v>2046</c:v>
                </c:pt>
                <c:pt idx="67">
                  <c:v>2047</c:v>
                </c:pt>
                <c:pt idx="68">
                  <c:v>2048</c:v>
                </c:pt>
                <c:pt idx="69">
                  <c:v>2049</c:v>
                </c:pt>
                <c:pt idx="70">
                  <c:v>2050</c:v>
                </c:pt>
                <c:pt idx="71">
                  <c:v>2051</c:v>
                </c:pt>
                <c:pt idx="72">
                  <c:v>2052</c:v>
                </c:pt>
                <c:pt idx="73">
                  <c:v>2053</c:v>
                </c:pt>
                <c:pt idx="74">
                  <c:v>2054</c:v>
                </c:pt>
                <c:pt idx="75">
                  <c:v>2055</c:v>
                </c:pt>
                <c:pt idx="76">
                  <c:v>2056</c:v>
                </c:pt>
                <c:pt idx="77">
                  <c:v>2057</c:v>
                </c:pt>
                <c:pt idx="78">
                  <c:v>2058</c:v>
                </c:pt>
                <c:pt idx="79">
                  <c:v>2059</c:v>
                </c:pt>
                <c:pt idx="80">
                  <c:v>2060</c:v>
                </c:pt>
                <c:pt idx="81">
                  <c:v>2061</c:v>
                </c:pt>
                <c:pt idx="82">
                  <c:v>2062</c:v>
                </c:pt>
                <c:pt idx="83">
                  <c:v>2063</c:v>
                </c:pt>
                <c:pt idx="84">
                  <c:v>2064</c:v>
                </c:pt>
                <c:pt idx="85">
                  <c:v>2065</c:v>
                </c:pt>
                <c:pt idx="86">
                  <c:v>2066</c:v>
                </c:pt>
                <c:pt idx="87">
                  <c:v>2067</c:v>
                </c:pt>
                <c:pt idx="88">
                  <c:v>2068</c:v>
                </c:pt>
                <c:pt idx="89">
                  <c:v>2069</c:v>
                </c:pt>
                <c:pt idx="90">
                  <c:v>2070</c:v>
                </c:pt>
                <c:pt idx="91">
                  <c:v>2071</c:v>
                </c:pt>
                <c:pt idx="92">
                  <c:v>2072</c:v>
                </c:pt>
                <c:pt idx="93">
                  <c:v>2073</c:v>
                </c:pt>
                <c:pt idx="94">
                  <c:v>2074</c:v>
                </c:pt>
                <c:pt idx="95">
                  <c:v>2075</c:v>
                </c:pt>
                <c:pt idx="96">
                  <c:v>2076</c:v>
                </c:pt>
                <c:pt idx="97">
                  <c:v>2077</c:v>
                </c:pt>
                <c:pt idx="98">
                  <c:v>2078</c:v>
                </c:pt>
                <c:pt idx="99">
                  <c:v>2079</c:v>
                </c:pt>
                <c:pt idx="100">
                  <c:v>2080</c:v>
                </c:pt>
                <c:pt idx="101">
                  <c:v>2081</c:v>
                </c:pt>
                <c:pt idx="102">
                  <c:v>2082</c:v>
                </c:pt>
                <c:pt idx="103">
                  <c:v>2083</c:v>
                </c:pt>
                <c:pt idx="104">
                  <c:v>2084</c:v>
                </c:pt>
                <c:pt idx="105">
                  <c:v>2085</c:v>
                </c:pt>
                <c:pt idx="106">
                  <c:v>2086</c:v>
                </c:pt>
                <c:pt idx="107">
                  <c:v>2087</c:v>
                </c:pt>
                <c:pt idx="108">
                  <c:v>2088</c:v>
                </c:pt>
                <c:pt idx="109">
                  <c:v>2089</c:v>
                </c:pt>
                <c:pt idx="110">
                  <c:v>2090</c:v>
                </c:pt>
                <c:pt idx="111">
                  <c:v>2091</c:v>
                </c:pt>
                <c:pt idx="112">
                  <c:v>2092</c:v>
                </c:pt>
                <c:pt idx="113">
                  <c:v>2093</c:v>
                </c:pt>
                <c:pt idx="114">
                  <c:v>2094</c:v>
                </c:pt>
                <c:pt idx="115">
                  <c:v>2095</c:v>
                </c:pt>
                <c:pt idx="116">
                  <c:v>2096</c:v>
                </c:pt>
                <c:pt idx="117">
                  <c:v>2097</c:v>
                </c:pt>
                <c:pt idx="118">
                  <c:v>2098</c:v>
                </c:pt>
                <c:pt idx="119">
                  <c:v>2099</c:v>
                </c:pt>
                <c:pt idx="120">
                  <c:v>2100</c:v>
                </c:pt>
                <c:pt idx="121">
                  <c:v>2101</c:v>
                </c:pt>
              </c:numCache>
            </c:numRef>
          </c:cat>
          <c:val>
            <c:numRef>
              <c:f>'Projection Matrix'!$Q$10:$Q$87</c:f>
              <c:numCache>
                <c:ptCount val="78"/>
                <c:pt idx="35">
                  <c:v>8862.042999246214</c:v>
                </c:pt>
                <c:pt idx="36">
                  <c:v>9177.996513167462</c:v>
                </c:pt>
                <c:pt idx="37">
                  <c:v>9502.30732861313</c:v>
                </c:pt>
                <c:pt idx="38">
                  <c:v>9835.171417413965</c:v>
                </c:pt>
                <c:pt idx="39">
                  <c:v>10176.789054978108</c:v>
                </c:pt>
                <c:pt idx="40">
                  <c:v>10527.36491096994</c:v>
                </c:pt>
                <c:pt idx="41">
                  <c:v>10887.10814184595</c:v>
                </c:pt>
                <c:pt idx="42">
                  <c:v>11256.232485284856</c:v>
                </c:pt>
                <c:pt idx="43">
                  <c:v>11634.956356549998</c:v>
                </c:pt>
                <c:pt idx="44">
                  <c:v>12023.502946822678</c:v>
                </c:pt>
                <c:pt idx="45">
                  <c:v>12422.100323546005</c:v>
                </c:pt>
                <c:pt idx="46">
                  <c:v>12863.005060462485</c:v>
                </c:pt>
                <c:pt idx="47">
                  <c:v>13315.991463703453</c:v>
                </c:pt>
                <c:pt idx="48">
                  <c:v>13781.356020266041</c:v>
                </c:pt>
                <c:pt idx="49">
                  <c:v>14259.402058993783</c:v>
                </c:pt>
                <c:pt idx="50">
                  <c:v>14750.4399023781</c:v>
                </c:pt>
                <c:pt idx="51">
                  <c:v>15254.787021637212</c:v>
                </c:pt>
                <c:pt idx="52">
                  <c:v>15772.768195141687</c:v>
                </c:pt>
                <c:pt idx="53">
                  <c:v>16304.71567025762</c:v>
                </c:pt>
                <c:pt idx="54">
                  <c:v>16850.969328679494</c:v>
                </c:pt>
                <c:pt idx="55">
                  <c:v>17411.87685532668</c:v>
                </c:pt>
                <c:pt idx="56">
                  <c:v>17951.032881649196</c:v>
                </c:pt>
                <c:pt idx="57">
                  <c:v>18487.810103264736</c:v>
                </c:pt>
                <c:pt idx="58">
                  <c:v>19027.62888420448</c:v>
                </c:pt>
                <c:pt idx="59">
                  <c:v>19572.537510571045</c:v>
                </c:pt>
                <c:pt idx="60">
                  <c:v>20123.73662079371</c:v>
                </c:pt>
                <c:pt idx="61">
                  <c:v>20682.06354892922</c:v>
                </c:pt>
                <c:pt idx="62">
                  <c:v>21248.163236512948</c:v>
                </c:pt>
                <c:pt idx="63">
                  <c:v>21822.565895340394</c:v>
                </c:pt>
                <c:pt idx="64">
                  <c:v>22405.727928546108</c:v>
                </c:pt>
                <c:pt idx="65">
                  <c:v>22998.05573889899</c:v>
                </c:pt>
                <c:pt idx="66">
                  <c:v>23599.92061034747</c:v>
                </c:pt>
                <c:pt idx="67">
                  <c:v>24211.668532155167</c:v>
                </c:pt>
                <c:pt idx="68">
                  <c:v>24833.626971039557</c:v>
                </c:pt>
                <c:pt idx="69">
                  <c:v>25466.109707151107</c:v>
                </c:pt>
                <c:pt idx="70">
                  <c:v>26109.420390895262</c:v>
                </c:pt>
                <c:pt idx="71">
                  <c:v>26763.85522574672</c:v>
                </c:pt>
                <c:pt idx="72">
                  <c:v>27429.705036718136</c:v>
                </c:pt>
                <c:pt idx="73">
                  <c:v>28107.25689643042</c:v>
                </c:pt>
                <c:pt idx="74">
                  <c:v>28796.79542588858</c:v>
                </c:pt>
                <c:pt idx="75">
                  <c:v>29498.603851685803</c:v>
                </c:pt>
                <c:pt idx="76">
                  <c:v>30212.964877900522</c:v>
                </c:pt>
                <c:pt idx="77">
                  <c:v>30940.161415021656</c:v>
                </c:pt>
              </c:numCache>
            </c:numRef>
          </c:val>
          <c:smooth val="0"/>
        </c:ser>
        <c:marker val="1"/>
        <c:axId val="21332181"/>
        <c:axId val="57771902"/>
      </c:lineChart>
      <c:catAx>
        <c:axId val="21332181"/>
        <c:scaling>
          <c:orientation val="minMax"/>
        </c:scaling>
        <c:axPos val="b"/>
        <c:delete val="0"/>
        <c:numFmt formatCode="General" sourceLinked="1"/>
        <c:majorTickMark val="in"/>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771902"/>
        <c:crosses val="autoZero"/>
        <c:auto val="1"/>
        <c:lblOffset val="100"/>
        <c:tickLblSkip val="10"/>
        <c:tickMarkSkip val="5"/>
        <c:noMultiLvlLbl val="0"/>
      </c:catAx>
      <c:valAx>
        <c:axId val="57771902"/>
        <c:scaling>
          <c:logBase val="10"/>
          <c:orientation val="minMax"/>
          <c:max val="10000000"/>
          <c:min val="1000"/>
        </c:scaling>
        <c:axPos val="l"/>
        <c:majorGridlines>
          <c:spPr>
            <a:ln w="3175">
              <a:solidFill>
                <a:srgbClr val="3366FF"/>
              </a:solidFill>
              <a:prstDash val="sysDot"/>
            </a:ln>
          </c:spPr>
        </c:majorGridlines>
        <c:delete val="0"/>
        <c:numFmt formatCode="General" sourceLinked="1"/>
        <c:majorTickMark val="none"/>
        <c:minorTickMark val="none"/>
        <c:tickLblPos val="nextTo"/>
        <c:spPr>
          <a:ln w="3175">
            <a:solidFill>
              <a:srgbClr val="808080"/>
            </a:solidFill>
          </a:ln>
        </c:spPr>
        <c:crossAx val="2133218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13"/>
  </sheetViews>
  <pageMargins left="0.75" right="0.75" top="1" bottom="1" header="0.5" footer="0.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0.631</cdr:x>
      <cdr:y>0.34325</cdr:y>
    </cdr:from>
    <cdr:to>
      <cdr:x>0.665</cdr:x>
      <cdr:y>0.4005</cdr:y>
    </cdr:to>
    <cdr:sp>
      <cdr:nvSpPr>
        <cdr:cNvPr id="1" name="TextBox 1"/>
        <cdr:cNvSpPr txBox="1">
          <a:spLocks noChangeArrowheads="1"/>
        </cdr:cNvSpPr>
      </cdr:nvSpPr>
      <cdr:spPr>
        <a:xfrm>
          <a:off x="5467350" y="2028825"/>
          <a:ext cx="295275" cy="342900"/>
        </a:xfrm>
        <a:prstGeom prst="rect">
          <a:avLst/>
        </a:prstGeom>
        <a:noFill/>
        <a:ln w="9525" cmpd="sng">
          <a:noFill/>
        </a:ln>
      </cdr:spPr>
      <cdr:txBody>
        <a:bodyPr vertOverflow="clip" wrap="square"/>
        <a:p>
          <a:pPr algn="l">
            <a:defRPr/>
          </a:pPr>
          <a:r>
            <a:rPr lang="en-US" cap="none" sz="1400" b="0" i="0" u="none" baseline="0">
              <a:solidFill>
                <a:srgbClr val="333333"/>
              </a:solidFill>
            </a:rPr>
            <a:t>?</a:t>
          </a:r>
        </a:p>
      </cdr:txBody>
    </cdr:sp>
  </cdr:relSizeAnchor>
  <cdr:relSizeAnchor xmlns:cdr="http://schemas.openxmlformats.org/drawingml/2006/chartDrawing">
    <cdr:from>
      <cdr:x>0.62925</cdr:x>
      <cdr:y>0.61575</cdr:y>
    </cdr:from>
    <cdr:to>
      <cdr:x>0.66325</cdr:x>
      <cdr:y>0.68975</cdr:y>
    </cdr:to>
    <cdr:sp>
      <cdr:nvSpPr>
        <cdr:cNvPr id="2" name="TextBox 3"/>
        <cdr:cNvSpPr txBox="1">
          <a:spLocks noChangeArrowheads="1"/>
        </cdr:cNvSpPr>
      </cdr:nvSpPr>
      <cdr:spPr>
        <a:xfrm>
          <a:off x="5448300" y="3638550"/>
          <a:ext cx="295275" cy="438150"/>
        </a:xfrm>
        <a:prstGeom prst="rect">
          <a:avLst/>
        </a:prstGeom>
        <a:noFill/>
        <a:ln w="9525" cmpd="sng">
          <a:noFill/>
        </a:ln>
      </cdr:spPr>
      <cdr:txBody>
        <a:bodyPr vertOverflow="clip" wrap="square"/>
        <a:p>
          <a:pPr algn="l">
            <a:defRPr/>
          </a:pPr>
          <a:r>
            <a:rPr lang="en-US" cap="none" sz="14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67750" cy="5915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0.4635</cdr:x>
      <cdr:y>0.234</cdr:y>
    </cdr:from>
    <cdr:to>
      <cdr:x>0.49625</cdr:x>
      <cdr:y>0.28675</cdr:y>
    </cdr:to>
    <cdr:sp>
      <cdr:nvSpPr>
        <cdr:cNvPr id="1" name="TextBox 1"/>
        <cdr:cNvSpPr txBox="1">
          <a:spLocks noChangeArrowheads="1"/>
        </cdr:cNvSpPr>
      </cdr:nvSpPr>
      <cdr:spPr>
        <a:xfrm>
          <a:off x="4010025" y="1381125"/>
          <a:ext cx="285750" cy="314325"/>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dr:relSizeAnchor xmlns:cdr="http://schemas.openxmlformats.org/drawingml/2006/chartDrawing">
    <cdr:from>
      <cdr:x>0.46225</cdr:x>
      <cdr:y>0.4985</cdr:y>
    </cdr:from>
    <cdr:to>
      <cdr:x>0.4935</cdr:x>
      <cdr:y>0.5635</cdr:y>
    </cdr:to>
    <cdr:sp>
      <cdr:nvSpPr>
        <cdr:cNvPr id="2" name="TextBox 2"/>
        <cdr:cNvSpPr txBox="1">
          <a:spLocks noChangeArrowheads="1"/>
        </cdr:cNvSpPr>
      </cdr:nvSpPr>
      <cdr:spPr>
        <a:xfrm>
          <a:off x="4000500" y="2943225"/>
          <a:ext cx="266700" cy="381000"/>
        </a:xfrm>
        <a:prstGeom prst="rect">
          <a:avLst/>
        </a:prstGeom>
        <a:noFill/>
        <a:ln w="9525" cmpd="sng">
          <a:noFill/>
        </a:ln>
      </cdr:spPr>
      <cdr:txBody>
        <a:bodyPr vertOverflow="clip" wrap="square"/>
        <a:p>
          <a:pPr algn="l">
            <a:defRPr/>
          </a:pPr>
          <a:r>
            <a:rPr lang="en-US" cap="none" sz="1600" b="0" i="1" u="none" baseline="0">
              <a:solidFill>
                <a:srgbClr val="000000"/>
              </a:solidFill>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58225" cy="59150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
  <sheetViews>
    <sheetView showGridLines="0" tabSelected="1" zoomScalePageLayoutView="0" workbookViewId="0" topLeftCell="A1">
      <selection activeCell="A2" sqref="A2"/>
    </sheetView>
  </sheetViews>
  <sheetFormatPr defaultColWidth="7.625" defaultRowHeight="12.75"/>
  <cols>
    <col min="1" max="1" width="2.25390625" style="0" customWidth="1"/>
    <col min="2" max="2" width="66.25390625" style="0" customWidth="1"/>
  </cols>
  <sheetData>
    <row r="1" spans="1:2" ht="12.75">
      <c r="A1" s="150" t="s">
        <v>107</v>
      </c>
      <c r="B1" s="34"/>
    </row>
    <row r="2" ht="19.5" customHeight="1">
      <c r="B2" s="153" t="s">
        <v>108</v>
      </c>
    </row>
    <row r="3" ht="209.25" customHeight="1">
      <c r="B3" s="35" t="s">
        <v>51</v>
      </c>
    </row>
    <row r="4" ht="157.5">
      <c r="B4" s="36" t="s">
        <v>104</v>
      </c>
    </row>
    <row r="5" ht="78.75">
      <c r="B5" s="36" t="s">
        <v>100</v>
      </c>
    </row>
    <row r="6" ht="15.75">
      <c r="B6" s="36" t="s">
        <v>15</v>
      </c>
    </row>
    <row r="7" ht="63">
      <c r="B7" s="36" t="s">
        <v>73</v>
      </c>
    </row>
    <row r="8" spans="1:2" ht="15.75">
      <c r="A8" s="37" t="s">
        <v>74</v>
      </c>
      <c r="B8" s="36"/>
    </row>
    <row r="9" spans="1:2" ht="15.75">
      <c r="A9" s="37" t="s">
        <v>75</v>
      </c>
      <c r="B9" s="36"/>
    </row>
    <row r="10" spans="1:2" ht="15.75">
      <c r="A10" s="37" t="s">
        <v>76</v>
      </c>
      <c r="B10" s="36"/>
    </row>
    <row r="11" spans="1:2" ht="15.75">
      <c r="A11" s="37" t="s">
        <v>77</v>
      </c>
      <c r="B11" s="36"/>
    </row>
  </sheetData>
  <sheetProtection password="DF35" sheet="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N52"/>
  <sheetViews>
    <sheetView showGridLines="0" zoomScalePageLayoutView="0" workbookViewId="0" topLeftCell="A1">
      <selection activeCell="A1" sqref="A1"/>
    </sheetView>
  </sheetViews>
  <sheetFormatPr defaultColWidth="11.00390625" defaultRowHeight="12.75"/>
  <cols>
    <col min="1" max="1" width="2.75390625" style="0" customWidth="1"/>
    <col min="2" max="2" width="6.375" style="0" customWidth="1"/>
    <col min="3" max="3" width="12.00390625" style="0" customWidth="1"/>
    <col min="4" max="4" width="7.375" style="0" customWidth="1"/>
    <col min="5" max="5" width="11.375" style="0" customWidth="1"/>
    <col min="6" max="6" width="8.875" style="0" customWidth="1"/>
    <col min="7" max="7" width="7.875" style="0" customWidth="1"/>
    <col min="8" max="8" width="5.375" style="0" customWidth="1"/>
    <col min="9" max="10" width="9.75390625" style="0" customWidth="1"/>
    <col min="11" max="11" width="1.625" style="0" customWidth="1"/>
    <col min="12" max="12" width="11.00390625" style="0" customWidth="1"/>
    <col min="13" max="14" width="11.00390625" style="0" hidden="1" customWidth="1"/>
  </cols>
  <sheetData>
    <row r="1" spans="2:10" ht="15.75" customHeight="1">
      <c r="B1" s="253" t="s">
        <v>112</v>
      </c>
      <c r="C1" s="254"/>
      <c r="D1" s="254"/>
      <c r="E1" s="254"/>
      <c r="F1" s="254"/>
      <c r="G1" s="254"/>
      <c r="H1" s="254"/>
      <c r="I1" s="254"/>
      <c r="J1" s="254"/>
    </row>
    <row r="2" ht="9" customHeight="1"/>
    <row r="3" spans="2:10" ht="12.75">
      <c r="B3" s="64" t="s">
        <v>102</v>
      </c>
      <c r="C3" s="64"/>
      <c r="D3" s="64"/>
      <c r="E3" s="64"/>
      <c r="F3" s="64"/>
      <c r="G3" s="64"/>
      <c r="H3" s="64"/>
      <c r="I3" s="64"/>
      <c r="J3" s="64"/>
    </row>
    <row r="4" spans="2:10" ht="12.75">
      <c r="B4" s="64" t="s">
        <v>103</v>
      </c>
      <c r="C4" s="64"/>
      <c r="D4" s="64"/>
      <c r="E4" s="64"/>
      <c r="F4" s="64"/>
      <c r="G4" s="64"/>
      <c r="H4" s="64"/>
      <c r="I4" s="64"/>
      <c r="J4" s="64"/>
    </row>
    <row r="5" spans="4:10" ht="6.75" customHeight="1" thickBot="1">
      <c r="D5" s="65"/>
      <c r="E5" s="65"/>
      <c r="J5" s="66"/>
    </row>
    <row r="6" spans="2:10" ht="12.75">
      <c r="B6" s="67" t="s">
        <v>87</v>
      </c>
      <c r="C6" s="68"/>
      <c r="D6" s="69"/>
      <c r="E6" s="70"/>
      <c r="F6" s="71"/>
      <c r="G6" s="72"/>
      <c r="H6" s="73"/>
      <c r="I6" s="71" t="s">
        <v>88</v>
      </c>
      <c r="J6" s="74"/>
    </row>
    <row r="7" spans="2:10" ht="10.5" customHeight="1">
      <c r="B7" s="75"/>
      <c r="F7" s="76"/>
      <c r="G7" s="77" t="s">
        <v>20</v>
      </c>
      <c r="H7" s="78"/>
      <c r="I7" s="79" t="s">
        <v>21</v>
      </c>
      <c r="J7" s="81" t="s">
        <v>82</v>
      </c>
    </row>
    <row r="8" spans="2:10" ht="10.5" customHeight="1">
      <c r="B8" s="75"/>
      <c r="F8" s="77" t="s">
        <v>22</v>
      </c>
      <c r="G8" s="77" t="s">
        <v>23</v>
      </c>
      <c r="H8" s="78"/>
      <c r="I8" s="79" t="s">
        <v>24</v>
      </c>
      <c r="J8" s="81" t="s">
        <v>29</v>
      </c>
    </row>
    <row r="9" spans="2:10" ht="10.5" customHeight="1" thickBot="1">
      <c r="B9" s="75"/>
      <c r="F9" s="82" t="s">
        <v>25</v>
      </c>
      <c r="G9" s="82" t="s">
        <v>26</v>
      </c>
      <c r="H9" s="83"/>
      <c r="I9" s="84" t="s">
        <v>27</v>
      </c>
      <c r="J9" s="85" t="s">
        <v>53</v>
      </c>
    </row>
    <row r="10" spans="2:10" ht="12.75">
      <c r="B10" s="86"/>
      <c r="F10" s="87">
        <v>2011</v>
      </c>
      <c r="G10" s="88">
        <f>+G11/(1+I11)</f>
        <v>8205.104561577366</v>
      </c>
      <c r="H10" s="89"/>
      <c r="I10" s="90">
        <v>0.0385</v>
      </c>
      <c r="J10" s="90">
        <v>0.0385</v>
      </c>
    </row>
    <row r="11" spans="2:10" ht="15">
      <c r="B11" s="86"/>
      <c r="C11" s="91" t="s">
        <v>54</v>
      </c>
      <c r="F11" s="87">
        <v>2012</v>
      </c>
      <c r="G11" s="88">
        <f>+G12/(1+I12)</f>
        <v>8479.15505393405</v>
      </c>
      <c r="H11" s="92"/>
      <c r="I11" s="243">
        <v>0.0334</v>
      </c>
      <c r="J11" s="90">
        <v>0.0334</v>
      </c>
    </row>
    <row r="12" spans="2:11" ht="15">
      <c r="B12" s="86"/>
      <c r="C12" s="91" t="s">
        <v>55</v>
      </c>
      <c r="F12" s="87">
        <v>2013</v>
      </c>
      <c r="G12" s="88">
        <f>+G13/(1+I13)</f>
        <v>8870.892017425804</v>
      </c>
      <c r="H12" s="92"/>
      <c r="I12" s="243">
        <v>0.0462</v>
      </c>
      <c r="J12" s="90">
        <v>0.0462</v>
      </c>
      <c r="K12" s="93"/>
    </row>
    <row r="13" spans="2:11" ht="15">
      <c r="B13" s="86"/>
      <c r="C13" s="91"/>
      <c r="D13" s="94"/>
      <c r="E13" s="92"/>
      <c r="F13" s="87">
        <v>2014</v>
      </c>
      <c r="G13" s="88">
        <f>+G14/(1+I14)</f>
        <v>9522.9025807066</v>
      </c>
      <c r="H13" s="92"/>
      <c r="I13" s="243">
        <v>0.0735</v>
      </c>
      <c r="J13" s="90">
        <v>0.0735</v>
      </c>
      <c r="K13" s="93"/>
    </row>
    <row r="14" spans="2:11" ht="15.75" thickBot="1">
      <c r="B14" s="95"/>
      <c r="C14" s="96"/>
      <c r="D14" s="97"/>
      <c r="E14" s="96"/>
      <c r="F14" s="98">
        <v>2015</v>
      </c>
      <c r="G14" s="99">
        <f>+G17</f>
        <v>10000</v>
      </c>
      <c r="H14" s="96"/>
      <c r="I14" s="244">
        <v>0.0501</v>
      </c>
      <c r="J14" s="100">
        <v>0.0501</v>
      </c>
      <c r="K14" s="93"/>
    </row>
    <row r="15" spans="2:11" ht="12.75">
      <c r="B15" s="67" t="s">
        <v>89</v>
      </c>
      <c r="C15" s="68"/>
      <c r="D15" s="68"/>
      <c r="E15" s="68"/>
      <c r="F15" s="68"/>
      <c r="G15" s="68"/>
      <c r="H15" s="68"/>
      <c r="I15" s="68"/>
      <c r="J15" s="74"/>
      <c r="K15" s="92"/>
    </row>
    <row r="16" spans="2:10" ht="10.5" customHeight="1">
      <c r="B16" s="86"/>
      <c r="C16" s="92"/>
      <c r="D16" s="92"/>
      <c r="F16" s="92"/>
      <c r="H16" s="92"/>
      <c r="I16" s="92"/>
      <c r="J16" s="80"/>
    </row>
    <row r="17" spans="2:11" ht="13.5">
      <c r="B17" s="101" t="s">
        <v>2</v>
      </c>
      <c r="C17" s="102"/>
      <c r="D17" s="102"/>
      <c r="E17" s="245">
        <v>0.183</v>
      </c>
      <c r="F17" s="92"/>
      <c r="G17" s="246">
        <v>10000</v>
      </c>
      <c r="H17" s="103" t="s">
        <v>99</v>
      </c>
      <c r="I17" s="92"/>
      <c r="J17" s="80"/>
      <c r="K17" s="92"/>
    </row>
    <row r="18" spans="2:11" ht="10.5" customHeight="1">
      <c r="B18" s="86"/>
      <c r="C18" s="104" t="s">
        <v>30</v>
      </c>
      <c r="D18" s="92"/>
      <c r="E18" s="105">
        <v>0.183</v>
      </c>
      <c r="F18" s="92"/>
      <c r="G18" s="106">
        <v>10000</v>
      </c>
      <c r="H18" s="104" t="s">
        <v>30</v>
      </c>
      <c r="I18" s="92"/>
      <c r="J18" s="80"/>
      <c r="K18" s="92"/>
    </row>
    <row r="19" spans="2:11" ht="10.5" customHeight="1">
      <c r="B19" s="86"/>
      <c r="C19" s="104" t="s">
        <v>31</v>
      </c>
      <c r="D19" s="92"/>
      <c r="E19" s="107" t="s">
        <v>52</v>
      </c>
      <c r="F19" s="92"/>
      <c r="G19" s="92"/>
      <c r="H19" s="92"/>
      <c r="I19" s="92"/>
      <c r="J19" s="80"/>
      <c r="K19" s="92"/>
    </row>
    <row r="20" spans="2:10" ht="6.75" customHeight="1">
      <c r="B20" s="86"/>
      <c r="C20" s="91"/>
      <c r="D20" s="108"/>
      <c r="E20" s="92"/>
      <c r="F20" s="92"/>
      <c r="G20" s="92"/>
      <c r="H20" s="92"/>
      <c r="I20" s="92"/>
      <c r="J20" s="80"/>
    </row>
    <row r="21" spans="2:10" ht="12.75">
      <c r="B21" s="86"/>
      <c r="C21" s="91" t="s">
        <v>97</v>
      </c>
      <c r="D21" s="108"/>
      <c r="E21" s="92"/>
      <c r="F21" s="92"/>
      <c r="G21" s="92"/>
      <c r="H21" s="92"/>
      <c r="I21" s="92"/>
      <c r="J21" s="80"/>
    </row>
    <row r="22" spans="2:10" ht="12.75">
      <c r="B22" s="86"/>
      <c r="C22" s="91" t="s">
        <v>98</v>
      </c>
      <c r="D22" s="109"/>
      <c r="E22" s="92"/>
      <c r="F22" s="92"/>
      <c r="G22" s="92"/>
      <c r="H22" s="92"/>
      <c r="I22" s="92"/>
      <c r="J22" s="80"/>
    </row>
    <row r="23" spans="2:10" ht="3.75" customHeight="1" thickBot="1">
      <c r="B23" s="95"/>
      <c r="C23" s="96"/>
      <c r="D23" s="96"/>
      <c r="E23" s="96"/>
      <c r="F23" s="96"/>
      <c r="G23" s="96"/>
      <c r="H23" s="96"/>
      <c r="I23" s="96"/>
      <c r="J23" s="110"/>
    </row>
    <row r="24" spans="2:10" ht="12.75">
      <c r="B24" s="67" t="s">
        <v>32</v>
      </c>
      <c r="C24" s="68"/>
      <c r="D24" s="68"/>
      <c r="E24" s="68"/>
      <c r="F24" s="68"/>
      <c r="G24" s="68"/>
      <c r="H24" s="68"/>
      <c r="I24" s="68"/>
      <c r="J24" s="74"/>
    </row>
    <row r="25" spans="2:11" ht="25.5" customHeight="1">
      <c r="B25" s="86"/>
      <c r="C25" s="92"/>
      <c r="D25" s="111" t="s">
        <v>33</v>
      </c>
      <c r="E25" s="111" t="s">
        <v>34</v>
      </c>
      <c r="F25" s="111" t="s">
        <v>35</v>
      </c>
      <c r="G25" s="111" t="s">
        <v>36</v>
      </c>
      <c r="H25" s="92"/>
      <c r="I25" s="112" t="s">
        <v>37</v>
      </c>
      <c r="J25" s="80"/>
      <c r="K25" s="92"/>
    </row>
    <row r="26" spans="2:11" ht="12" customHeight="1">
      <c r="B26" s="86"/>
      <c r="C26" s="113" t="s">
        <v>38</v>
      </c>
      <c r="D26" s="114">
        <v>0.025</v>
      </c>
      <c r="E26" s="114">
        <v>0.017</v>
      </c>
      <c r="F26" s="115">
        <v>1.4</v>
      </c>
      <c r="G26" s="114">
        <v>0.011</v>
      </c>
      <c r="H26" s="116"/>
      <c r="I26" s="117">
        <f>(1+D26)*(1+F26*E26)*(1+G26)-1</f>
        <v>0.06093834499999984</v>
      </c>
      <c r="J26" s="118"/>
      <c r="K26" s="92"/>
    </row>
    <row r="27" spans="2:11" ht="12" customHeight="1">
      <c r="B27" s="86"/>
      <c r="C27" s="119" t="s">
        <v>39</v>
      </c>
      <c r="D27" s="120" t="s">
        <v>40</v>
      </c>
      <c r="E27" s="120" t="s">
        <v>41</v>
      </c>
      <c r="F27" s="120" t="s">
        <v>42</v>
      </c>
      <c r="G27" s="120" t="s">
        <v>43</v>
      </c>
      <c r="H27" s="121"/>
      <c r="I27" s="92"/>
      <c r="J27" s="122"/>
      <c r="K27" s="92"/>
    </row>
    <row r="28" spans="2:10" ht="12.75">
      <c r="B28" s="86"/>
      <c r="C28" s="123"/>
      <c r="D28" s="124"/>
      <c r="E28" s="123"/>
      <c r="F28" s="124"/>
      <c r="G28" s="124"/>
      <c r="H28" s="125"/>
      <c r="I28" s="92"/>
      <c r="J28" s="122"/>
    </row>
    <row r="29" spans="2:10" ht="16.5">
      <c r="B29" s="126" t="s">
        <v>4</v>
      </c>
      <c r="C29" s="102"/>
      <c r="D29" s="245">
        <v>0.025</v>
      </c>
      <c r="E29" s="245">
        <v>0.017</v>
      </c>
      <c r="F29" s="247">
        <v>1.4</v>
      </c>
      <c r="G29" s="245">
        <v>0.011</v>
      </c>
      <c r="H29" s="125"/>
      <c r="I29" s="127">
        <f>(1+D29)*(1+F29*E29)*(1+G29)-1</f>
        <v>0.06093834499999984</v>
      </c>
      <c r="J29" s="122"/>
    </row>
    <row r="30" spans="2:10" ht="7.5" customHeight="1">
      <c r="B30" s="86"/>
      <c r="C30" s="92"/>
      <c r="D30" s="92"/>
      <c r="E30" s="92"/>
      <c r="F30" s="92"/>
      <c r="G30" s="92"/>
      <c r="H30" s="92"/>
      <c r="I30" s="92"/>
      <c r="J30" s="80"/>
    </row>
    <row r="31" spans="2:11" ht="12.75">
      <c r="B31" s="86"/>
      <c r="C31" s="94" t="s">
        <v>3</v>
      </c>
      <c r="D31" s="92"/>
      <c r="E31" s="92"/>
      <c r="F31" s="92"/>
      <c r="G31" s="92"/>
      <c r="H31" s="92"/>
      <c r="I31" s="92"/>
      <c r="J31" s="118"/>
      <c r="K31" s="92"/>
    </row>
    <row r="32" spans="2:11" ht="12.75">
      <c r="B32" s="86"/>
      <c r="C32" s="94" t="s">
        <v>44</v>
      </c>
      <c r="D32" s="92"/>
      <c r="E32" s="92"/>
      <c r="F32" s="92"/>
      <c r="G32" s="92"/>
      <c r="H32" s="92"/>
      <c r="I32" s="92"/>
      <c r="J32" s="118"/>
      <c r="K32" s="92"/>
    </row>
    <row r="33" spans="2:11" ht="13.5" thickBot="1">
      <c r="B33" s="95"/>
      <c r="C33" s="97" t="s">
        <v>45</v>
      </c>
      <c r="D33" s="96"/>
      <c r="E33" s="96"/>
      <c r="F33" s="96"/>
      <c r="G33" s="96"/>
      <c r="H33" s="96"/>
      <c r="I33" s="96"/>
      <c r="J33" s="128"/>
      <c r="K33" s="92"/>
    </row>
    <row r="34" spans="2:11" ht="12.75">
      <c r="B34" s="67" t="s">
        <v>46</v>
      </c>
      <c r="C34" s="68"/>
      <c r="D34" s="68"/>
      <c r="E34" s="68"/>
      <c r="F34" s="68"/>
      <c r="G34" s="68"/>
      <c r="H34" s="68"/>
      <c r="I34" s="68"/>
      <c r="J34" s="129"/>
      <c r="K34" s="92"/>
    </row>
    <row r="35" spans="2:14" ht="10.5" customHeight="1">
      <c r="B35" s="86"/>
      <c r="C35" s="92"/>
      <c r="D35" s="92"/>
      <c r="E35" s="92"/>
      <c r="F35" s="92"/>
      <c r="G35" s="92"/>
      <c r="H35" s="92"/>
      <c r="I35" s="130" t="s">
        <v>47</v>
      </c>
      <c r="J35" s="131" t="s">
        <v>82</v>
      </c>
      <c r="K35" s="92"/>
      <c r="M35" t="s">
        <v>72</v>
      </c>
      <c r="N35" s="250" t="s">
        <v>72</v>
      </c>
    </row>
    <row r="36" spans="2:14" ht="10.5" customHeight="1">
      <c r="B36" s="132"/>
      <c r="C36" s="133"/>
      <c r="D36" s="92"/>
      <c r="E36" s="92"/>
      <c r="F36" s="92"/>
      <c r="G36" s="92"/>
      <c r="H36" s="92"/>
      <c r="I36" s="130" t="s">
        <v>48</v>
      </c>
      <c r="J36" s="131" t="s">
        <v>49</v>
      </c>
      <c r="K36" s="92"/>
      <c r="M36" s="251">
        <v>0.4</v>
      </c>
      <c r="N36">
        <v>2085</v>
      </c>
    </row>
    <row r="37" spans="2:14" ht="12.75">
      <c r="B37" s="134" t="s">
        <v>50</v>
      </c>
      <c r="C37" s="92"/>
      <c r="D37" s="135"/>
      <c r="E37" s="135"/>
      <c r="F37" s="135"/>
      <c r="G37" s="136"/>
      <c r="H37" s="92"/>
      <c r="I37" s="248">
        <v>0.25</v>
      </c>
      <c r="J37" s="137">
        <v>0.25</v>
      </c>
      <c r="K37" s="92"/>
      <c r="M37" s="251">
        <v>0.35</v>
      </c>
      <c r="N37">
        <v>2080</v>
      </c>
    </row>
    <row r="38" spans="2:14" ht="12.75">
      <c r="B38" s="138" t="s">
        <v>57</v>
      </c>
      <c r="C38" s="92"/>
      <c r="D38" s="135"/>
      <c r="E38" s="135"/>
      <c r="F38" s="135"/>
      <c r="G38" s="139"/>
      <c r="H38" s="92"/>
      <c r="I38" s="249">
        <v>2075</v>
      </c>
      <c r="J38" s="140">
        <v>2075</v>
      </c>
      <c r="K38" s="92"/>
      <c r="M38" s="251">
        <v>0.3</v>
      </c>
      <c r="N38">
        <v>2075</v>
      </c>
    </row>
    <row r="39" spans="2:14" ht="9" customHeight="1">
      <c r="B39" s="86"/>
      <c r="C39" s="92"/>
      <c r="D39" s="92"/>
      <c r="E39" s="92"/>
      <c r="F39" s="92"/>
      <c r="G39" s="92"/>
      <c r="H39" s="92"/>
      <c r="I39" s="141"/>
      <c r="J39" s="80"/>
      <c r="K39" s="92"/>
      <c r="M39" s="251">
        <v>0.25</v>
      </c>
      <c r="N39">
        <v>2070</v>
      </c>
    </row>
    <row r="40" spans="2:14" ht="12.75">
      <c r="B40" s="86"/>
      <c r="C40" s="142" t="s">
        <v>58</v>
      </c>
      <c r="D40" s="142"/>
      <c r="E40" s="142"/>
      <c r="F40" s="154"/>
      <c r="G40" s="92"/>
      <c r="H40" s="92"/>
      <c r="I40" s="141" t="s">
        <v>59</v>
      </c>
      <c r="J40" s="80"/>
      <c r="K40" s="92"/>
      <c r="M40" s="251"/>
      <c r="N40">
        <v>2060</v>
      </c>
    </row>
    <row r="41" spans="2:14" ht="15.75">
      <c r="B41" s="143"/>
      <c r="C41" s="144" t="s">
        <v>60</v>
      </c>
      <c r="D41" s="92"/>
      <c r="E41" s="92"/>
      <c r="F41" s="92"/>
      <c r="G41" s="92"/>
      <c r="H41" s="92"/>
      <c r="I41" s="241">
        <f>+'Projection Matrix'!D55</f>
        <v>17848.160947941917</v>
      </c>
      <c r="J41" s="145">
        <v>17848.160947941917</v>
      </c>
      <c r="K41" s="92"/>
      <c r="M41" s="251"/>
      <c r="N41">
        <v>2050</v>
      </c>
    </row>
    <row r="42" spans="2:14" ht="15.75">
      <c r="B42" s="143"/>
      <c r="C42" s="144" t="s">
        <v>61</v>
      </c>
      <c r="D42" s="146"/>
      <c r="E42" s="146"/>
      <c r="F42" s="92"/>
      <c r="G42" s="92"/>
      <c r="H42" s="92"/>
      <c r="I42" s="242">
        <f>+'Projection Matrix'!B55</f>
        <v>0.21557399999999993</v>
      </c>
      <c r="J42" s="90">
        <v>0.2159299999999999</v>
      </c>
      <c r="K42" s="92"/>
      <c r="M42" s="251"/>
      <c r="N42">
        <v>2045</v>
      </c>
    </row>
    <row r="43" spans="2:14" ht="6.75" customHeight="1" thickBot="1">
      <c r="B43" s="95"/>
      <c r="C43" s="96"/>
      <c r="D43" s="96"/>
      <c r="E43" s="96"/>
      <c r="F43" s="96"/>
      <c r="G43" s="96"/>
      <c r="H43" s="96"/>
      <c r="I43" s="96"/>
      <c r="J43" s="147"/>
      <c r="K43" s="92"/>
      <c r="N43">
        <v>2040</v>
      </c>
    </row>
    <row r="44" spans="2:14" ht="12.75">
      <c r="B44" s="67" t="s">
        <v>62</v>
      </c>
      <c r="D44" s="68"/>
      <c r="E44" s="68"/>
      <c r="F44" s="68"/>
      <c r="G44" s="68"/>
      <c r="H44" s="68"/>
      <c r="I44" s="68"/>
      <c r="J44" s="74"/>
      <c r="K44" s="92"/>
      <c r="N44">
        <v>2035</v>
      </c>
    </row>
    <row r="45" spans="2:10" ht="9" customHeight="1">
      <c r="B45" s="86"/>
      <c r="J45" s="80"/>
    </row>
    <row r="46" spans="2:10" ht="25.5" customHeight="1">
      <c r="B46" s="86"/>
      <c r="C46" s="92"/>
      <c r="D46" s="148" t="s">
        <v>56</v>
      </c>
      <c r="E46" s="148" t="s">
        <v>28</v>
      </c>
      <c r="F46" s="148" t="s">
        <v>35</v>
      </c>
      <c r="G46" s="148" t="s">
        <v>36</v>
      </c>
      <c r="H46" s="92"/>
      <c r="I46" s="112" t="s">
        <v>37</v>
      </c>
      <c r="J46" s="80"/>
    </row>
    <row r="47" spans="2:11" ht="15.75">
      <c r="B47" s="86"/>
      <c r="C47" s="151" t="s">
        <v>18</v>
      </c>
      <c r="D47" s="245">
        <v>0.024</v>
      </c>
      <c r="E47" s="245">
        <v>0.019</v>
      </c>
      <c r="F47" s="247">
        <f>+F29</f>
        <v>1.4</v>
      </c>
      <c r="G47" s="245">
        <v>0.012</v>
      </c>
      <c r="H47" s="125"/>
      <c r="I47" s="149">
        <f>(1+D47)*(1+F47*E47)*(1+G47)-1</f>
        <v>0.06385326079999998</v>
      </c>
      <c r="J47" s="118"/>
      <c r="K47" s="92"/>
    </row>
    <row r="48" spans="2:11" ht="15.75">
      <c r="B48" s="86"/>
      <c r="C48" s="151" t="s">
        <v>19</v>
      </c>
      <c r="D48" s="245">
        <v>0.023</v>
      </c>
      <c r="E48" s="245">
        <v>0.019</v>
      </c>
      <c r="F48" s="247">
        <f>+F29</f>
        <v>1.4</v>
      </c>
      <c r="G48" s="245">
        <v>0.012</v>
      </c>
      <c r="H48" s="125"/>
      <c r="I48" s="149">
        <f>(1+D48)*(1+F48*E48)*(1+G48)-1</f>
        <v>0.06281434159999977</v>
      </c>
      <c r="J48" s="118"/>
      <c r="K48" s="92"/>
    </row>
    <row r="49" spans="2:10" ht="5.25" customHeight="1">
      <c r="B49" s="86"/>
      <c r="C49" s="92"/>
      <c r="D49" s="92"/>
      <c r="E49" s="92"/>
      <c r="F49" s="92"/>
      <c r="G49" s="92"/>
      <c r="H49" s="92"/>
      <c r="I49" s="92"/>
      <c r="J49" s="80"/>
    </row>
    <row r="50" spans="2:10" ht="12.75">
      <c r="B50" s="86"/>
      <c r="C50" s="94" t="s">
        <v>0</v>
      </c>
      <c r="D50" s="92"/>
      <c r="E50" s="92"/>
      <c r="F50" s="92"/>
      <c r="G50" s="92"/>
      <c r="H50" s="92"/>
      <c r="I50" s="92"/>
      <c r="J50" s="80"/>
    </row>
    <row r="51" spans="2:10" ht="12.75">
      <c r="B51" s="86"/>
      <c r="C51" s="94" t="s">
        <v>1</v>
      </c>
      <c r="D51" s="92"/>
      <c r="E51" s="92"/>
      <c r="F51" s="92"/>
      <c r="G51" s="92"/>
      <c r="H51" s="92"/>
      <c r="I51" s="92"/>
      <c r="J51" s="80"/>
    </row>
    <row r="52" spans="2:10" ht="9" customHeight="1" thickBot="1">
      <c r="B52" s="95"/>
      <c r="C52" s="96"/>
      <c r="D52" s="96"/>
      <c r="E52" s="96"/>
      <c r="F52" s="96"/>
      <c r="G52" s="96"/>
      <c r="H52" s="96"/>
      <c r="I52" s="96"/>
      <c r="J52" s="110"/>
    </row>
  </sheetData>
  <sheetProtection password="DF35" sheet="1"/>
  <mergeCells count="1">
    <mergeCell ref="B1:J1"/>
  </mergeCells>
  <dataValidations count="11">
    <dataValidation type="decimal" allowBlank="1" showInputMessage="1" showErrorMessage="1" promptTitle="2015 GDP % share" prompt="Enter 2015 GDP % share between 16.5% and 19.5%.  &#13;Default Value: 18.3% " errorTitle="Input Error " error="Please enter a value between 16.0% and 22.0%. " sqref="E17">
      <formula1>0.16</formula1>
      <formula2>0.22</formula2>
    </dataValidation>
    <dataValidation type="decimal" allowBlank="1" showInputMessage="1" showErrorMessage="1" promptTitle="Inflation (CPI)" prompt="Enter a value for inflation between 1.8% and 5.5%&#13;Default Value:2.3% " errorTitle="Input Error " error="Enter a value between 1.8% and 5.5%" sqref="D48">
      <formula1>0.018</formula1>
      <formula2>0.055</formula2>
    </dataValidation>
    <dataValidation type="decimal" allowBlank="1" showInputMessage="1" showErrorMessage="1" promptTitle="Real GDP" prompt="Enter a value for Real GDP per capita between 0.8% and 3.0%&#13;Default Value:1.9%" errorTitle="Input Error" error="Enter a value between 0.8% and 3.0%." sqref="E47:E48">
      <formula1>0.008</formula1>
      <formula2>0.03</formula2>
    </dataValidation>
    <dataValidation type="decimal" allowBlank="1" showInputMessage="1" showErrorMessage="1" promptTitle="Income Multiplier" prompt="Enter an Income Multiplier between 0.90 and 1.70.&#13;Default Value:1.40" errorTitle="Input Error " error="Enter a value between 0.90 and 1.70" sqref="F29 F47:F48">
      <formula1>0.9</formula1>
      <formula2>1.7</formula2>
    </dataValidation>
    <dataValidation type="decimal" allowBlank="1" showInputMessage="1" showErrorMessage="1" promptTitle="Taste - Technology" prompt="Enter a value between 0% and 2.5%&#13;Default Value:1.2%" errorTitle="Input Error " error="Enter a value between 0% and 2.5%. " sqref="G47:G48">
      <formula1>0</formula1>
      <formula2>0.025</formula2>
    </dataValidation>
    <dataValidation type="list" allowBlank="1" showInputMessage="1" showErrorMessage="1" promptTitle="Health Share of GDP Constraint" prompt="Select a % Constraint or None &#13;Default Value:25%&#13;" sqref="I37">
      <formula1>$M$35:$M$39</formula1>
    </dataValidation>
    <dataValidation type="list" allowBlank="1" showInputMessage="1" showErrorMessage="1" promptTitle="Year Constraint " prompt="Enter Year Constraint or None&#13;Default Year:2075" sqref="I38">
      <formula1>$N$35:$N$44</formula1>
    </dataValidation>
    <dataValidation type="decimal" allowBlank="1" showInputMessage="1" showErrorMessage="1" promptTitle="Inflation (CPI)" prompt="Enter a value for inflation between 1.8% and 5.5%&#13;Default Value:2.5% " errorTitle="Input Error " error="Enter a value between 1.8% and 5.5%" sqref="D29">
      <formula1>0.018</formula1>
      <formula2>0.055</formula2>
    </dataValidation>
    <dataValidation type="decimal" allowBlank="1" showInputMessage="1" showErrorMessage="1" promptTitle="Real GDP" prompt="Enter a value for Real GDP per capita between 0.8% and 3.0%. Default Value 1.7%" errorTitle="Input Error" error="Enter a value between 0.8% and 3.0%." sqref="E29">
      <formula1>0.008</formula1>
      <formula2>0.03</formula2>
    </dataValidation>
    <dataValidation type="decimal" allowBlank="1" showInputMessage="1" showErrorMessage="1" promptTitle="Taste - Technology" prompt="Enter a value between 0% and 2.5%. Default Value: 1.1%" errorTitle="Input Error " error="Enter a value between 0% and 2.5%. " sqref="G29">
      <formula1>0</formula1>
      <formula2>0.025</formula2>
    </dataValidation>
    <dataValidation type="decimal" allowBlank="1" showInputMessage="1" showErrorMessage="1" promptTitle="Inflation (CPI)" prompt="Enter a value for inflation between 1.8% and 5.5%&#13;Default Value:2.4% " errorTitle="Input Error " error="Enter a value between 1.8% and 5.5%" sqref="D47">
      <formula1>0.018</formula1>
      <formula2>0.055</formula2>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
    </sheetView>
  </sheetViews>
  <sheetFormatPr defaultColWidth="11.00390625" defaultRowHeight="12.75"/>
  <cols>
    <col min="1" max="1" width="6.625" style="0" customWidth="1"/>
    <col min="2" max="2" width="8.00390625" style="0" customWidth="1"/>
    <col min="3" max="3" width="11.00390625" style="0" customWidth="1"/>
    <col min="4" max="4" width="4.875" style="0" customWidth="1"/>
  </cols>
  <sheetData>
    <row r="1" spans="1:7" ht="15.75">
      <c r="A1" s="252" t="s">
        <v>109</v>
      </c>
      <c r="B1" s="155"/>
      <c r="C1" s="155"/>
      <c r="D1" s="155"/>
      <c r="E1" s="155"/>
      <c r="F1" s="155"/>
      <c r="G1" s="155"/>
    </row>
    <row r="2" spans="1:6" ht="15.75" customHeight="1">
      <c r="A2" s="38" t="s">
        <v>80</v>
      </c>
      <c r="B2" s="39"/>
      <c r="C2" s="40"/>
      <c r="D2" s="40"/>
      <c r="E2" s="40"/>
      <c r="F2" s="40"/>
    </row>
    <row r="3" spans="1:7" ht="18.75" customHeight="1">
      <c r="A3" s="41" t="s">
        <v>81</v>
      </c>
      <c r="B3" s="42" t="s">
        <v>82</v>
      </c>
      <c r="C3" s="43" t="s">
        <v>83</v>
      </c>
      <c r="E3" s="44" t="s">
        <v>84</v>
      </c>
      <c r="G3" s="45"/>
    </row>
    <row r="4" spans="1:7" ht="15.75" customHeight="1">
      <c r="A4" s="46">
        <v>1980</v>
      </c>
      <c r="B4" s="47">
        <v>0.11942311060789068</v>
      </c>
      <c r="E4" s="48" t="s">
        <v>85</v>
      </c>
      <c r="G4" s="45"/>
    </row>
    <row r="5" spans="1:7" ht="15.75">
      <c r="A5" s="46">
        <v>1990</v>
      </c>
      <c r="B5" s="47">
        <v>0.09848249559278233</v>
      </c>
      <c r="E5" s="48" t="s">
        <v>86</v>
      </c>
      <c r="G5" s="45"/>
    </row>
    <row r="6" spans="1:7" ht="15.75">
      <c r="A6" s="46">
        <v>2000</v>
      </c>
      <c r="B6" s="47">
        <v>0.054610459735597416</v>
      </c>
      <c r="G6" s="45"/>
    </row>
    <row r="7" spans="1:7" ht="15.75">
      <c r="A7" s="46">
        <v>2005</v>
      </c>
      <c r="B7" s="47">
        <v>0.058</v>
      </c>
      <c r="E7" s="46" t="s">
        <v>90</v>
      </c>
      <c r="G7" s="45"/>
    </row>
    <row r="8" spans="1:5" ht="15.75">
      <c r="A8" s="46">
        <v>2006</v>
      </c>
      <c r="B8" s="47">
        <v>0.055</v>
      </c>
      <c r="E8" s="46" t="s">
        <v>90</v>
      </c>
    </row>
    <row r="9" spans="1:5" ht="15.75">
      <c r="A9" s="46">
        <v>2007</v>
      </c>
      <c r="B9" s="47">
        <v>0.051</v>
      </c>
      <c r="E9" s="46" t="s">
        <v>90</v>
      </c>
    </row>
    <row r="10" spans="1:5" ht="15.75">
      <c r="A10" s="46">
        <v>2008</v>
      </c>
      <c r="B10" s="47">
        <v>0.038</v>
      </c>
      <c r="E10" s="46" t="s">
        <v>90</v>
      </c>
    </row>
    <row r="11" spans="1:5" ht="18.75" customHeight="1">
      <c r="A11" s="46">
        <v>2009</v>
      </c>
      <c r="B11" s="47">
        <v>0.031</v>
      </c>
      <c r="E11" s="46" t="s">
        <v>90</v>
      </c>
    </row>
    <row r="12" spans="1:5" ht="18.75" customHeight="1">
      <c r="A12" s="49">
        <v>2010</v>
      </c>
      <c r="B12" s="52">
        <v>0.03</v>
      </c>
      <c r="C12" s="50">
        <f>+'Projection Matrix'!E40</f>
        <v>0.03</v>
      </c>
      <c r="E12" s="51" t="s">
        <v>91</v>
      </c>
    </row>
    <row r="13" spans="1:5" ht="18.75" customHeight="1">
      <c r="A13" s="46">
        <v>2011</v>
      </c>
      <c r="B13" s="47">
        <v>0.0385</v>
      </c>
      <c r="C13" s="53">
        <f>+'Projection Matrix'!E41</f>
        <v>0.0385</v>
      </c>
      <c r="E13" s="51" t="s">
        <v>92</v>
      </c>
    </row>
    <row r="14" spans="1:6" ht="18.75" customHeight="1">
      <c r="A14" s="46">
        <v>2012</v>
      </c>
      <c r="B14" s="47">
        <v>0.0334</v>
      </c>
      <c r="C14" s="54">
        <f>+'Projection Matrix'!E42</f>
        <v>0.0334</v>
      </c>
      <c r="E14" s="55" t="s">
        <v>93</v>
      </c>
      <c r="F14" s="54"/>
    </row>
    <row r="15" spans="1:6" ht="18.75" customHeight="1">
      <c r="A15" s="46">
        <v>2013</v>
      </c>
      <c r="B15" s="47">
        <v>0.0462</v>
      </c>
      <c r="C15" s="54">
        <f>+'Projection Matrix'!E43</f>
        <v>0.0462</v>
      </c>
      <c r="E15" s="55" t="s">
        <v>94</v>
      </c>
      <c r="F15" s="54"/>
    </row>
    <row r="16" spans="1:6" ht="18.75" customHeight="1">
      <c r="A16" s="46">
        <v>2014</v>
      </c>
      <c r="B16" s="47">
        <v>0.0735</v>
      </c>
      <c r="C16" s="54">
        <f>+'Projection Matrix'!E44</f>
        <v>0.0735</v>
      </c>
      <c r="E16" s="56" t="s">
        <v>90</v>
      </c>
      <c r="F16" s="54"/>
    </row>
    <row r="17" spans="1:6" ht="18.75" customHeight="1">
      <c r="A17" s="152">
        <v>2015</v>
      </c>
      <c r="B17" s="52">
        <v>0.0501</v>
      </c>
      <c r="C17" s="57">
        <f>+'Projection Matrix'!E45</f>
        <v>0.0501</v>
      </c>
      <c r="E17" s="56" t="s">
        <v>90</v>
      </c>
      <c r="F17" s="57"/>
    </row>
    <row r="18" spans="1:6" ht="18.75" customHeight="1">
      <c r="A18" s="46">
        <v>2016</v>
      </c>
      <c r="B18" s="47">
        <v>0.06118295368852422</v>
      </c>
      <c r="C18" s="59">
        <f>+'Projection Matrix'!E46</f>
        <v>0.0609801649999997</v>
      </c>
      <c r="E18" s="59" t="s">
        <v>95</v>
      </c>
      <c r="F18" s="59"/>
    </row>
    <row r="19" spans="1:6" ht="18.75" customHeight="1">
      <c r="A19" s="46">
        <v>2017</v>
      </c>
      <c r="B19" s="47">
        <v>0.06085137954727182</v>
      </c>
      <c r="C19" s="59">
        <f>+'Projection Matrix'!E47</f>
        <v>0.06065565926508132</v>
      </c>
      <c r="E19" s="59" t="s">
        <v>96</v>
      </c>
      <c r="F19" s="59"/>
    </row>
    <row r="20" spans="1:6" ht="18.75" customHeight="1">
      <c r="A20" s="46">
        <f>+A19+1</f>
        <v>2018</v>
      </c>
      <c r="B20" s="47">
        <v>0.060531323911048096</v>
      </c>
      <c r="C20" s="59">
        <f>+'Projection Matrix'!E48</f>
        <v>0.06034230880648894</v>
      </c>
      <c r="E20" s="59" t="s">
        <v>96</v>
      </c>
      <c r="F20" s="59"/>
    </row>
    <row r="21" spans="1:6" ht="18.75" customHeight="1">
      <c r="A21" s="46">
        <f aca="true" t="shared" si="0" ref="A21:A84">+A20+1</f>
        <v>2019</v>
      </c>
      <c r="B21" s="47">
        <v>0.06022219681769392</v>
      </c>
      <c r="C21" s="59">
        <f>+'Projection Matrix'!E49</f>
        <v>0.060039548129865006</v>
      </c>
      <c r="E21" s="59" t="s">
        <v>96</v>
      </c>
      <c r="F21" s="59"/>
    </row>
    <row r="22" spans="1:6" ht="18.75" customHeight="1">
      <c r="A22" s="46">
        <f t="shared" si="0"/>
        <v>2020</v>
      </c>
      <c r="B22" s="47">
        <v>0.05992344791815296</v>
      </c>
      <c r="C22" s="59">
        <f>+'Projection Matrix'!E50</f>
        <v>0.059746849327856344</v>
      </c>
      <c r="E22" s="59" t="s">
        <v>96</v>
      </c>
      <c r="F22" s="59"/>
    </row>
    <row r="23" spans="1:6" ht="18.75" customHeight="1">
      <c r="A23" s="46">
        <f t="shared" si="0"/>
        <v>2021</v>
      </c>
      <c r="B23" s="47">
        <v>0.05963456320657756</v>
      </c>
      <c r="C23" s="59">
        <f>+'Projection Matrix'!E51</f>
        <v>0.059463719008264304</v>
      </c>
      <c r="E23" s="59" t="s">
        <v>96</v>
      </c>
      <c r="F23" s="59"/>
    </row>
    <row r="24" spans="1:6" ht="18.75" customHeight="1">
      <c r="A24" s="46">
        <f t="shared" si="0"/>
        <v>2022</v>
      </c>
      <c r="B24" s="47">
        <v>0.05935506206906749</v>
      </c>
      <c r="C24" s="59">
        <f>+'Projection Matrix'!E52</f>
        <v>0.059189695518612195</v>
      </c>
      <c r="E24" s="59" t="s">
        <v>96</v>
      </c>
      <c r="F24" s="59"/>
    </row>
    <row r="25" spans="1:6" ht="18.75" customHeight="1">
      <c r="A25" s="46">
        <f t="shared" si="0"/>
        <v>2023</v>
      </c>
      <c r="B25" s="47">
        <v>0.05908449461541054</v>
      </c>
      <c r="C25" s="59">
        <f>+'Projection Matrix'!E53</f>
        <v>0.05892434643428768</v>
      </c>
      <c r="E25" s="59" t="s">
        <v>96</v>
      </c>
      <c r="F25" s="59"/>
    </row>
    <row r="26" spans="1:6" ht="18.75" customHeight="1">
      <c r="A26" s="46">
        <f t="shared" si="0"/>
        <v>2024</v>
      </c>
      <c r="B26" s="47">
        <v>0.05882243926264907</v>
      </c>
      <c r="C26" s="59">
        <f>+'Projection Matrix'!E54</f>
        <v>0.05866726628151242</v>
      </c>
      <c r="E26" s="59" t="s">
        <v>96</v>
      </c>
      <c r="F26" s="59"/>
    </row>
    <row r="27" spans="1:6" ht="18.75" customHeight="1">
      <c r="A27" s="58">
        <f t="shared" si="0"/>
        <v>2025</v>
      </c>
      <c r="B27" s="47">
        <v>0.05856850054317886</v>
      </c>
      <c r="C27" s="59">
        <f>+'Projection Matrix'!E55</f>
        <v>0.05841807446991876</v>
      </c>
      <c r="E27" s="59" t="s">
        <v>96</v>
      </c>
      <c r="F27" s="59"/>
    </row>
    <row r="28" spans="1:6" ht="18.75" customHeight="1">
      <c r="A28" s="46">
        <f t="shared" si="0"/>
        <v>2026</v>
      </c>
      <c r="B28" s="47">
        <v>0.06097821301347661</v>
      </c>
      <c r="C28" s="59">
        <f>+'Projection Matrix'!E56</f>
        <v>0.06081740713072992</v>
      </c>
      <c r="E28" s="59" t="s">
        <v>96</v>
      </c>
      <c r="F28" s="59"/>
    </row>
    <row r="29" spans="1:5" ht="18.75" customHeight="1">
      <c r="A29" s="46">
        <f t="shared" si="0"/>
        <v>2027</v>
      </c>
      <c r="B29" s="47">
        <v>0.06068883105904632</v>
      </c>
      <c r="C29" s="59">
        <f>+'Projection Matrix'!E57</f>
        <v>0.060533269205076845</v>
      </c>
      <c r="E29" s="59" t="s">
        <v>96</v>
      </c>
    </row>
    <row r="30" spans="1:5" ht="18.75" customHeight="1">
      <c r="A30" s="46">
        <f t="shared" si="0"/>
        <v>2028</v>
      </c>
      <c r="B30" s="47">
        <v>0.060408852183419404</v>
      </c>
      <c r="C30" s="59">
        <f>+'Projection Matrix'!E58</f>
        <v>0.060258281958593285</v>
      </c>
      <c r="E30" s="59" t="s">
        <v>96</v>
      </c>
    </row>
    <row r="31" spans="1:5" ht="1.5" customHeight="1">
      <c r="A31" s="46">
        <f t="shared" si="0"/>
        <v>2029</v>
      </c>
      <c r="B31" s="47">
        <v>0.06013782540298407</v>
      </c>
      <c r="C31" s="59">
        <f>+'Projection Matrix'!E59</f>
        <v>0.05999201034928836</v>
      </c>
      <c r="E31" s="59" t="s">
        <v>96</v>
      </c>
    </row>
    <row r="32" spans="1:5" ht="18.75" customHeight="1">
      <c r="A32" s="46">
        <f t="shared" si="0"/>
        <v>2030</v>
      </c>
      <c r="B32" s="47">
        <v>0.059875328119982196</v>
      </c>
      <c r="C32" s="59">
        <f>+'Projection Matrix'!E60</f>
        <v>0.05973404648201219</v>
      </c>
      <c r="E32" s="59" t="s">
        <v>96</v>
      </c>
    </row>
    <row r="33" spans="1:5" ht="0.75" customHeight="1">
      <c r="A33" s="46">
        <f t="shared" si="0"/>
        <v>2031</v>
      </c>
      <c r="B33" s="47">
        <v>0.05962096392377991</v>
      </c>
      <c r="C33" s="59">
        <f>+'Projection Matrix'!E61</f>
        <v>0.059484007523510796</v>
      </c>
      <c r="E33" s="59" t="s">
        <v>96</v>
      </c>
    </row>
    <row r="34" spans="1:5" ht="0.75" customHeight="1">
      <c r="A34" s="46">
        <f t="shared" si="0"/>
        <v>2032</v>
      </c>
      <c r="B34" s="47">
        <v>0.059374360593387854</v>
      </c>
      <c r="C34" s="59">
        <f>+'Projection Matrix'!E62</f>
        <v>0.05924153380673047</v>
      </c>
      <c r="E34" s="59" t="s">
        <v>96</v>
      </c>
    </row>
    <row r="35" spans="1:5" ht="0.75" customHeight="1">
      <c r="A35" s="46">
        <f t="shared" si="0"/>
        <v>2033</v>
      </c>
      <c r="B35" s="47">
        <v>0.059135168280068706</v>
      </c>
      <c r="C35" s="59">
        <f>+'Projection Matrix'!E63</f>
        <v>0.059006287104622634</v>
      </c>
      <c r="E35" s="59" t="s">
        <v>96</v>
      </c>
    </row>
    <row r="36" spans="1:5" ht="0.75" customHeight="1">
      <c r="A36" s="46">
        <f t="shared" si="0"/>
        <v>2034</v>
      </c>
      <c r="B36" s="47">
        <v>0.05890305785137451</v>
      </c>
      <c r="C36" s="59">
        <f>+'Projection Matrix'!E64</f>
        <v>0.05877794905603828</v>
      </c>
      <c r="E36" s="59" t="s">
        <v>96</v>
      </c>
    </row>
    <row r="37" spans="1:5" ht="0.75" customHeight="1">
      <c r="A37" s="46">
        <f t="shared" si="0"/>
        <v>2035</v>
      </c>
      <c r="B37" s="47">
        <v>0.05867771938011934</v>
      </c>
      <c r="C37" s="59">
        <f>+'Projection Matrix'!E65</f>
        <v>0.058556219728292946</v>
      </c>
      <c r="E37" s="59" t="s">
        <v>96</v>
      </c>
    </row>
    <row r="38" spans="1:5" ht="0.75" customHeight="1">
      <c r="A38" s="46">
        <f t="shared" si="0"/>
        <v>2036</v>
      </c>
      <c r="B38" s="47">
        <v>0.05602238998497233</v>
      </c>
      <c r="C38" s="59">
        <f>+'Projection Matrix'!E66</f>
        <v>0.05617792196031601</v>
      </c>
      <c r="E38" s="59" t="s">
        <v>96</v>
      </c>
    </row>
    <row r="39" spans="1:5" ht="0.75" customHeight="1">
      <c r="A39" s="46">
        <f t="shared" si="0"/>
        <v>2037</v>
      </c>
      <c r="B39" s="47">
        <v>0.05504254818819887</v>
      </c>
      <c r="C39" s="59">
        <f>+'Projection Matrix'!E67</f>
        <v>0.05508939692892789</v>
      </c>
      <c r="E39" s="59" t="s">
        <v>96</v>
      </c>
    </row>
    <row r="40" spans="1:5" ht="0.75" customHeight="1">
      <c r="A40" s="46">
        <f t="shared" si="0"/>
        <v>2038</v>
      </c>
      <c r="B40" s="47">
        <v>0.05434964095476302</v>
      </c>
      <c r="C40" s="59">
        <f>+'Projection Matrix'!E68</f>
        <v>0.05436851819943045</v>
      </c>
      <c r="E40" s="59" t="s">
        <v>96</v>
      </c>
    </row>
    <row r="41" spans="1:5" ht="0.75" customHeight="1">
      <c r="A41" s="46">
        <f t="shared" si="0"/>
        <v>2039</v>
      </c>
      <c r="B41" s="47">
        <v>0.05378773221692801</v>
      </c>
      <c r="C41" s="59">
        <f>+'Projection Matrix'!E69</f>
        <v>0.053793926350581556</v>
      </c>
      <c r="E41" s="59" t="s">
        <v>96</v>
      </c>
    </row>
    <row r="42" spans="1:5" ht="18.75">
      <c r="A42" s="46">
        <f t="shared" si="0"/>
        <v>2040</v>
      </c>
      <c r="B42" s="47">
        <v>0.0533070722408171</v>
      </c>
      <c r="C42" s="59">
        <f>+'Projection Matrix'!E70</f>
        <v>0.05330639271056081</v>
      </c>
      <c r="E42" s="59" t="s">
        <v>96</v>
      </c>
    </row>
    <row r="43" spans="1:5" ht="0.75" customHeight="1">
      <c r="A43" s="46">
        <f t="shared" si="0"/>
        <v>2041</v>
      </c>
      <c r="B43" s="47">
        <v>0.05288373845115468</v>
      </c>
      <c r="C43" s="59">
        <f>+'Projection Matrix'!E71</f>
        <v>0.05287902269847122</v>
      </c>
      <c r="E43" s="59" t="s">
        <v>96</v>
      </c>
    </row>
    <row r="44" spans="1:5" ht="0.75" customHeight="1">
      <c r="A44" s="46">
        <f t="shared" si="0"/>
        <v>2042</v>
      </c>
      <c r="B44" s="47">
        <v>0.05250389694922508</v>
      </c>
      <c r="C44" s="59">
        <f>+'Projection Matrix'!E72</f>
        <v>0.05249673023705381</v>
      </c>
      <c r="E44" s="59" t="s">
        <v>96</v>
      </c>
    </row>
    <row r="45" spans="1:5" ht="0.75" customHeight="1">
      <c r="A45" s="46">
        <f t="shared" si="0"/>
        <v>2043</v>
      </c>
      <c r="B45" s="47">
        <v>0.052158629145454105</v>
      </c>
      <c r="C45" s="59">
        <f>+'Projection Matrix'!E73</f>
        <v>0.052149974166676216</v>
      </c>
      <c r="E45" s="59" t="s">
        <v>96</v>
      </c>
    </row>
    <row r="46" spans="1:5" ht="0.75" customHeight="1">
      <c r="A46" s="46">
        <f t="shared" si="0"/>
        <v>2044</v>
      </c>
      <c r="B46" s="47">
        <v>0.05184175430573035</v>
      </c>
      <c r="C46" s="59">
        <f>+'Projection Matrix'!E74</f>
        <v>0.051832229217219306</v>
      </c>
      <c r="E46" s="59" t="s">
        <v>96</v>
      </c>
    </row>
    <row r="47" spans="1:5" ht="0.75" customHeight="1">
      <c r="A47" s="46">
        <f t="shared" si="0"/>
        <v>2045</v>
      </c>
      <c r="B47" s="47">
        <v>0.05154876204693326</v>
      </c>
      <c r="C47" s="59">
        <f>+'Projection Matrix'!E75</f>
        <v>0.051538779470334584</v>
      </c>
      <c r="E47" s="59" t="s">
        <v>96</v>
      </c>
    </row>
    <row r="48" spans="1:5" ht="0.75" customHeight="1">
      <c r="A48" s="46">
        <f t="shared" si="0"/>
        <v>2046</v>
      </c>
      <c r="B48" s="47">
        <v>0.05127623089387989</v>
      </c>
      <c r="C48" s="59">
        <f>+'Projection Matrix'!E76</f>
        <v>0.05126607385630799</v>
      </c>
      <c r="E48" s="59" t="s">
        <v>96</v>
      </c>
    </row>
    <row r="49" spans="1:5" ht="0.75" customHeight="1">
      <c r="A49" s="46">
        <f t="shared" si="0"/>
        <v>2047</v>
      </c>
      <c r="B49" s="47">
        <v>0.05102148602633583</v>
      </c>
      <c r="C49" s="59">
        <f>+'Projection Matrix'!E77</f>
        <v>0.051011352312369196</v>
      </c>
      <c r="E49" s="59" t="s">
        <v>96</v>
      </c>
    </row>
    <row r="50" spans="1:5" ht="0.75" customHeight="1">
      <c r="A50" s="46">
        <f t="shared" si="0"/>
        <v>2048</v>
      </c>
      <c r="B50" s="47">
        <v>0.05078238540373792</v>
      </c>
      <c r="C50" s="59">
        <f>+'Projection Matrix'!E78</f>
        <v>0.05077241484104822</v>
      </c>
      <c r="E50" s="59" t="s">
        <v>96</v>
      </c>
    </row>
    <row r="51" spans="1:5" ht="0.75" customHeight="1">
      <c r="A51" s="46">
        <f t="shared" si="0"/>
        <v>2049</v>
      </c>
      <c r="B51" s="47">
        <v>0.05055717959822559</v>
      </c>
      <c r="C51" s="59">
        <f>+'Projection Matrix'!E79</f>
        <v>0.050547471556879</v>
      </c>
      <c r="E51" s="59" t="s">
        <v>96</v>
      </c>
    </row>
    <row r="52" spans="1:5" ht="18.75">
      <c r="A52" s="46">
        <f t="shared" si="0"/>
        <v>2050</v>
      </c>
      <c r="B52" s="47">
        <v>0.05034441629701947</v>
      </c>
      <c r="C52" s="59">
        <f>+'Projection Matrix'!E80</f>
        <v>0.050335041300104244</v>
      </c>
      <c r="E52" s="59" t="s">
        <v>96</v>
      </c>
    </row>
    <row r="53" spans="1:5" ht="0.75" customHeight="1">
      <c r="A53" s="46">
        <f t="shared" si="0"/>
        <v>2051</v>
      </c>
      <c r="B53" s="47">
        <v>0.05014287310331467</v>
      </c>
      <c r="C53" s="59">
        <f>+'Projection Matrix'!E81</f>
        <v>0.05013388075052161</v>
      </c>
      <c r="E53" s="59" t="s">
        <v>96</v>
      </c>
    </row>
    <row r="54" spans="1:5" ht="0.75" customHeight="1">
      <c r="A54" s="46">
        <f t="shared" si="0"/>
        <v>2052</v>
      </c>
      <c r="B54" s="47">
        <v>0.049951508942104095</v>
      </c>
      <c r="C54" s="59">
        <f>+'Projection Matrix'!E82</f>
        <v>0.04994293344651246</v>
      </c>
      <c r="E54" s="59" t="s">
        <v>96</v>
      </c>
    </row>
    <row r="55" spans="1:5" ht="0.75" customHeight="1">
      <c r="A55" s="46">
        <f t="shared" si="0"/>
        <v>2053</v>
      </c>
      <c r="B55" s="47">
        <v>0.04976942808938478</v>
      </c>
      <c r="C55" s="59">
        <f>+'Projection Matrix'!E83</f>
        <v>0.04976129222477188</v>
      </c>
      <c r="E55" s="59" t="s">
        <v>96</v>
      </c>
    </row>
    <row r="56" spans="1:5" ht="0.75" customHeight="1">
      <c r="A56" s="46">
        <f t="shared" si="0"/>
        <v>2054</v>
      </c>
      <c r="B56" s="47">
        <v>0.04959585300162894</v>
      </c>
      <c r="C56" s="59">
        <f>+'Projection Matrix'!E84</f>
        <v>0.04958817096520263</v>
      </c>
      <c r="E56" s="59" t="s">
        <v>96</v>
      </c>
    </row>
    <row r="57" spans="1:5" ht="0.75" customHeight="1">
      <c r="A57" s="46">
        <f t="shared" si="0"/>
        <v>2055</v>
      </c>
      <c r="B57" s="47">
        <v>0.049430103426580274</v>
      </c>
      <c r="C57" s="59">
        <f>+'Projection Matrix'!E85</f>
        <v>0.049422882945878266</v>
      </c>
      <c r="E57" s="59" t="s">
        <v>96</v>
      </c>
    </row>
    <row r="58" spans="1:5" ht="0.75" customHeight="1">
      <c r="A58" s="46">
        <f t="shared" si="0"/>
        <v>2056</v>
      </c>
      <c r="B58" s="47">
        <v>0.04927158009117094</v>
      </c>
      <c r="C58" s="59">
        <f>+'Projection Matrix'!E86</f>
        <v>0.04926482399443177</v>
      </c>
      <c r="E58" s="59" t="s">
        <v>96</v>
      </c>
    </row>
    <row r="59" spans="1:5" ht="0.75" customHeight="1">
      <c r="A59" s="46">
        <f t="shared" si="0"/>
        <v>2057</v>
      </c>
      <c r="B59" s="47">
        <v>0.04911975178632466</v>
      </c>
      <c r="C59" s="59">
        <f>+'Projection Matrix'!E87</f>
        <v>0.04911345918578891</v>
      </c>
      <c r="E59" s="59" t="s">
        <v>96</v>
      </c>
    </row>
    <row r="60" spans="1:5" ht="0.75" customHeight="1">
      <c r="A60" s="46">
        <f t="shared" si="0"/>
        <v>2058</v>
      </c>
      <c r="B60" s="47">
        <v>0.048974145014198056</v>
      </c>
      <c r="C60" s="59">
        <f>+'Projection Matrix'!E88</f>
        <v>0.04896831220613418</v>
      </c>
      <c r="E60" s="59" t="s">
        <v>96</v>
      </c>
    </row>
    <row r="61" spans="1:5" ht="0.75" customHeight="1">
      <c r="A61" s="46">
        <f t="shared" si="0"/>
        <v>2059</v>
      </c>
      <c r="B61" s="47">
        <v>0.04883433559685324</v>
      </c>
      <c r="C61" s="59">
        <f>+'Projection Matrix'!E89</f>
        <v>0.04882895675162957</v>
      </c>
      <c r="E61" s="59" t="s">
        <v>96</v>
      </c>
    </row>
    <row r="62" spans="1:5" ht="0.75" customHeight="1">
      <c r="A62" s="46">
        <f t="shared" si="0"/>
        <v>2060</v>
      </c>
      <c r="B62" s="47">
        <v>0.04869994180623993</v>
      </c>
      <c r="C62" s="59">
        <f>+'Projection Matrix'!E90</f>
        <v>0.04869500950101502</v>
      </c>
      <c r="E62" s="59" t="s">
        <v>96</v>
      </c>
    </row>
    <row r="63" spans="1:5" ht="0.75" customHeight="1">
      <c r="A63" s="46">
        <f t="shared" si="0"/>
        <v>2061</v>
      </c>
      <c r="B63" s="47">
        <v>0.04857061868830437</v>
      </c>
      <c r="C63" s="59">
        <f>+'Projection Matrix'!E91</f>
        <v>0.04856612432054308</v>
      </c>
      <c r="E63" s="59" t="s">
        <v>96</v>
      </c>
    </row>
    <row r="64" spans="1:5" ht="0.75" customHeight="1">
      <c r="A64" s="46">
        <f t="shared" si="0"/>
        <v>2062</v>
      </c>
      <c r="B64" s="47">
        <v>0.048446053334637584</v>
      </c>
      <c r="C64" s="59">
        <f>+'Projection Matrix'!E92</f>
        <v>0.04844198744458095</v>
      </c>
      <c r="E64" s="59" t="s">
        <v>96</v>
      </c>
    </row>
    <row r="65" spans="1:5" ht="0.75" customHeight="1">
      <c r="A65" s="46">
        <f t="shared" si="0"/>
        <v>2063</v>
      </c>
      <c r="B65" s="47">
        <v>0.048325960913507826</v>
      </c>
      <c r="C65" s="59">
        <f>+'Projection Matrix'!E93</f>
        <v>0.0483223134365105</v>
      </c>
      <c r="E65" s="59" t="s">
        <v>96</v>
      </c>
    </row>
    <row r="66" spans="1:5" ht="0.75" customHeight="1">
      <c r="A66" s="46">
        <f t="shared" si="0"/>
        <v>2064</v>
      </c>
      <c r="B66" s="47">
        <v>0.04821008131505211</v>
      </c>
      <c r="C66" s="59">
        <f>+'Projection Matrix'!E94</f>
        <v>0.04820684177951784</v>
      </c>
      <c r="E66" s="59" t="s">
        <v>96</v>
      </c>
    </row>
    <row r="67" spans="1:5" ht="0.75" customHeight="1">
      <c r="A67" s="46">
        <f t="shared" si="0"/>
        <v>2065</v>
      </c>
      <c r="B67" s="47">
        <v>0.04809817629735136</v>
      </c>
      <c r="C67" s="59">
        <f>+'Projection Matrix'!E95</f>
        <v>0.048095333980191945</v>
      </c>
      <c r="E67" s="59" t="s">
        <v>96</v>
      </c>
    </row>
    <row r="68" spans="1:5" ht="0.75" customHeight="1">
      <c r="A68" s="46">
        <f t="shared" si="0"/>
        <v>2066</v>
      </c>
      <c r="B68" s="47">
        <v>0.047990027044182426</v>
      </c>
      <c r="C68" s="59">
        <f>+'Projection Matrix'!E96</f>
        <v>0.047987571092929615</v>
      </c>
      <c r="E68" s="59" t="s">
        <v>96</v>
      </c>
    </row>
    <row r="69" spans="1:5" ht="0.75" customHeight="1">
      <c r="A69" s="46">
        <f t="shared" si="0"/>
        <v>2067</v>
      </c>
      <c r="B69" s="47">
        <v>0.04788543206356621</v>
      </c>
      <c r="C69" s="59">
        <f>+'Projection Matrix'!E97</f>
        <v>0.04788335159216062</v>
      </c>
      <c r="E69" s="59" t="s">
        <v>96</v>
      </c>
    </row>
    <row r="70" spans="1:5" ht="0.75" customHeight="1">
      <c r="A70" s="46">
        <f t="shared" si="0"/>
        <v>2068</v>
      </c>
      <c r="B70" s="47">
        <v>0.04778420537030237</v>
      </c>
      <c r="C70" s="59">
        <f>+'Projection Matrix'!E98</f>
        <v>0.04778248953403064</v>
      </c>
      <c r="E70" s="59" t="s">
        <v>96</v>
      </c>
    </row>
    <row r="71" spans="1:5" ht="0.75" customHeight="1">
      <c r="A71" s="46">
        <f t="shared" si="0"/>
        <v>2069</v>
      </c>
      <c r="B71" s="47">
        <v>0.047686174906643286</v>
      </c>
      <c r="C71" s="59">
        <f>+'Projection Matrix'!E99</f>
        <v>0.04768481296047944</v>
      </c>
      <c r="E71" s="59" t="s">
        <v>96</v>
      </c>
    </row>
    <row r="72" spans="1:5" ht="0.75" customHeight="1">
      <c r="A72" s="46">
        <f t="shared" si="0"/>
        <v>2070</v>
      </c>
      <c r="B72" s="47">
        <v>0.0475911811637979</v>
      </c>
      <c r="C72" s="59">
        <f>+'Projection Matrix'!E100</f>
        <v>0.04759016250750525</v>
      </c>
      <c r="E72" s="59" t="s">
        <v>96</v>
      </c>
    </row>
    <row r="73" spans="1:5" ht="0.75" customHeight="1">
      <c r="A73" s="46">
        <f t="shared" si="0"/>
        <v>2071</v>
      </c>
      <c r="B73" s="47">
        <v>0.04749907597372949</v>
      </c>
      <c r="C73" s="59">
        <f>+'Projection Matrix'!E101</f>
        <v>0.047498390186371475</v>
      </c>
      <c r="E73" s="59" t="s">
        <v>96</v>
      </c>
    </row>
    <row r="74" spans="1:5" ht="0.75" customHeight="1">
      <c r="A74" s="46">
        <f t="shared" si="0"/>
        <v>2072</v>
      </c>
      <c r="B74" s="47">
        <v>0.047409721446088904</v>
      </c>
      <c r="C74" s="59">
        <f>+'Projection Matrix'!E102</f>
        <v>0.047409358312044514</v>
      </c>
      <c r="E74" s="59" t="s">
        <v>96</v>
      </c>
    </row>
    <row r="75" spans="1:5" ht="0.75" customHeight="1">
      <c r="A75" s="46">
        <f t="shared" si="0"/>
        <v>2073</v>
      </c>
      <c r="B75" s="47">
        <v>0.047322989029417784</v>
      </c>
      <c r="C75" s="59">
        <f>+'Projection Matrix'!E103</f>
        <v>0.04732293855758862</v>
      </c>
      <c r="E75" s="59" t="s">
        <v>96</v>
      </c>
    </row>
    <row r="76" spans="1:5" ht="0.75" customHeight="1">
      <c r="A76" s="46">
        <f t="shared" si="0"/>
        <v>2074</v>
      </c>
      <c r="B76" s="47">
        <v>0.04723875867924909</v>
      </c>
      <c r="C76" s="59">
        <f>+'Projection Matrix'!E104</f>
        <v>0.047239011116788854</v>
      </c>
      <c r="E76" s="59" t="s">
        <v>96</v>
      </c>
    </row>
    <row r="77" spans="1:5" ht="18.75">
      <c r="A77" s="58">
        <f t="shared" si="0"/>
        <v>2075</v>
      </c>
      <c r="B77" s="47">
        <v>0.046684926306681085</v>
      </c>
      <c r="C77" s="59">
        <f>+'Projection Matrix'!E105</f>
        <v>0.04668541756416933</v>
      </c>
      <c r="E77" s="59" t="s">
        <v>96</v>
      </c>
    </row>
    <row r="78" spans="1:5" ht="0.75" customHeight="1">
      <c r="A78" s="46">
        <f t="shared" si="0"/>
        <v>2076</v>
      </c>
      <c r="B78" s="47">
        <v>0.046155609841300516</v>
      </c>
      <c r="C78" s="59">
        <f>+'Projection Matrix'!E106</f>
        <v>0.04615625112397992</v>
      </c>
      <c r="E78" s="59" t="s">
        <v>96</v>
      </c>
    </row>
    <row r="79" spans="1:5" ht="0.75" customHeight="1">
      <c r="A79" s="46">
        <f t="shared" si="0"/>
        <v>2077</v>
      </c>
      <c r="B79" s="47">
        <v>0.04564726963238552</v>
      </c>
      <c r="C79" s="59">
        <f>+'Projection Matrix'!E107</f>
        <v>0.045647985376080946</v>
      </c>
      <c r="E79" s="59" t="s">
        <v>96</v>
      </c>
    </row>
    <row r="80" spans="1:5" ht="0.75" customHeight="1">
      <c r="A80" s="46">
        <f t="shared" si="0"/>
        <v>2078</v>
      </c>
      <c r="B80" s="47">
        <v>0.045156710739559625</v>
      </c>
      <c r="C80" s="59">
        <f>+'Projection Matrix'!E108</f>
        <v>0.04515743726505028</v>
      </c>
      <c r="E80" s="59" t="s">
        <v>96</v>
      </c>
    </row>
    <row r="81" spans="1:5" ht="0.75" customHeight="1">
      <c r="A81" s="46">
        <f t="shared" si="0"/>
        <v>2079</v>
      </c>
      <c r="B81" s="47">
        <v>0.044681018710614584</v>
      </c>
      <c r="C81" s="59">
        <f>+'Projection Matrix'!E109</f>
        <v>0.04468170309339503</v>
      </c>
      <c r="E81" s="59" t="s">
        <v>96</v>
      </c>
    </row>
    <row r="82" spans="1:5" ht="0.75" customHeight="1">
      <c r="A82" s="46">
        <f t="shared" si="0"/>
        <v>2080</v>
      </c>
      <c r="B82" s="47">
        <v>0.04421750569446026</v>
      </c>
      <c r="C82" s="59">
        <f>+'Projection Matrix'!E110</f>
        <v>0.04421810482830013</v>
      </c>
      <c r="E82" s="59" t="s">
        <v>96</v>
      </c>
    </row>
    <row r="83" spans="1:5" ht="0.75" customHeight="1">
      <c r="A83" s="46">
        <f t="shared" si="0"/>
        <v>2081</v>
      </c>
      <c r="B83" s="47">
        <v>0.043763664464791185</v>
      </c>
      <c r="C83" s="59">
        <f>+'Projection Matrix'!E111</f>
        <v>0.0437641442997887</v>
      </c>
      <c r="E83" s="59" t="s">
        <v>96</v>
      </c>
    </row>
    <row r="84" spans="1:5" ht="0.75" customHeight="1">
      <c r="A84" s="46">
        <f t="shared" si="0"/>
        <v>2082</v>
      </c>
      <c r="B84" s="47">
        <v>0.04331712846697555</v>
      </c>
      <c r="C84" s="59">
        <f>+'Projection Matrix'!E112</f>
        <v>0.0433174634056257</v>
      </c>
      <c r="E84" s="59" t="s">
        <v>96</v>
      </c>
    </row>
    <row r="85" spans="1:5" ht="0.75" customHeight="1">
      <c r="A85" s="46">
        <f aca="true" t="shared" si="1" ref="A85:A102">+A84+1</f>
        <v>2083</v>
      </c>
      <c r="B85" s="47">
        <v>0.042875636385098836</v>
      </c>
      <c r="C85" s="59">
        <f>+'Projection Matrix'!E113</f>
        <v>0.04287580882289288</v>
      </c>
      <c r="E85" s="59" t="s">
        <v>96</v>
      </c>
    </row>
    <row r="86" spans="1:5" ht="0.75" customHeight="1">
      <c r="A86" s="46">
        <f t="shared" si="1"/>
        <v>2084</v>
      </c>
      <c r="B86" s="47">
        <v>0.042436999999999836</v>
      </c>
      <c r="C86" s="59">
        <f>+'Projection Matrix'!E114</f>
        <v>0.042436999999999836</v>
      </c>
      <c r="E86" s="59" t="s">
        <v>96</v>
      </c>
    </row>
    <row r="87" spans="1:5" ht="0.75" customHeight="1">
      <c r="A87" s="46">
        <f t="shared" si="1"/>
        <v>2085</v>
      </c>
      <c r="B87" s="47">
        <v>0.042436999999999614</v>
      </c>
      <c r="C87" s="59">
        <f>+'Projection Matrix'!E115</f>
        <v>0.042436999999999614</v>
      </c>
      <c r="E87" s="59" t="s">
        <v>96</v>
      </c>
    </row>
    <row r="88" spans="1:5" ht="0.75" customHeight="1">
      <c r="A88" s="46">
        <f t="shared" si="1"/>
        <v>2086</v>
      </c>
      <c r="B88" s="47">
        <v>0.042436999999999836</v>
      </c>
      <c r="C88" s="59">
        <f>+'Projection Matrix'!E116</f>
        <v>0.042436999999999836</v>
      </c>
      <c r="E88" s="59" t="s">
        <v>96</v>
      </c>
    </row>
    <row r="89" spans="1:5" ht="0.75" customHeight="1">
      <c r="A89" s="46">
        <f t="shared" si="1"/>
        <v>2087</v>
      </c>
      <c r="B89" s="47">
        <v>0.042436999999999836</v>
      </c>
      <c r="C89" s="59">
        <f>+'Projection Matrix'!E117</f>
        <v>0.042436999999999836</v>
      </c>
      <c r="E89" s="59" t="s">
        <v>96</v>
      </c>
    </row>
    <row r="90" spans="1:5" ht="0.75" customHeight="1">
      <c r="A90" s="46">
        <f t="shared" si="1"/>
        <v>2088</v>
      </c>
      <c r="B90" s="47">
        <v>0.042436999999999836</v>
      </c>
      <c r="C90" s="59">
        <f>+'Projection Matrix'!E118</f>
        <v>0.042436999999999614</v>
      </c>
      <c r="E90" s="59" t="s">
        <v>96</v>
      </c>
    </row>
    <row r="91" spans="1:5" ht="0.75" customHeight="1">
      <c r="A91" s="46">
        <f t="shared" si="1"/>
        <v>2089</v>
      </c>
      <c r="B91" s="47">
        <v>0.042436999999999836</v>
      </c>
      <c r="C91" s="59">
        <f>+'Projection Matrix'!E119</f>
        <v>0.042436999999999836</v>
      </c>
      <c r="E91" s="59" t="s">
        <v>96</v>
      </c>
    </row>
    <row r="92" spans="1:5" ht="0.75" customHeight="1">
      <c r="A92" s="46">
        <f t="shared" si="1"/>
        <v>2090</v>
      </c>
      <c r="B92" s="47">
        <v>0.042436999999999836</v>
      </c>
      <c r="C92" s="59">
        <f>+'Projection Matrix'!E120</f>
        <v>0.042436999999999836</v>
      </c>
      <c r="E92" s="59" t="s">
        <v>96</v>
      </c>
    </row>
    <row r="93" spans="1:5" ht="0.75" customHeight="1">
      <c r="A93" s="46">
        <f t="shared" si="1"/>
        <v>2091</v>
      </c>
      <c r="B93" s="47">
        <v>0.042436999999999836</v>
      </c>
      <c r="C93" s="59">
        <f>+'Projection Matrix'!E121</f>
        <v>0.042436999999999836</v>
      </c>
      <c r="E93" s="59" t="s">
        <v>96</v>
      </c>
    </row>
    <row r="94" spans="1:5" ht="0.75" customHeight="1">
      <c r="A94" s="46">
        <f t="shared" si="1"/>
        <v>2092</v>
      </c>
      <c r="B94" s="47">
        <v>0.042436999999999836</v>
      </c>
      <c r="C94" s="59">
        <f>+'Projection Matrix'!E122</f>
        <v>0.042436999999999836</v>
      </c>
      <c r="E94" s="59" t="s">
        <v>96</v>
      </c>
    </row>
    <row r="95" spans="1:5" ht="0.75" customHeight="1">
      <c r="A95" s="46">
        <f t="shared" si="1"/>
        <v>2093</v>
      </c>
      <c r="B95" s="47">
        <v>0.042436999999999836</v>
      </c>
      <c r="C95" s="59">
        <f>+'Projection Matrix'!E123</f>
        <v>0.042436999999999836</v>
      </c>
      <c r="E95" s="59" t="s">
        <v>96</v>
      </c>
    </row>
    <row r="96" spans="1:5" ht="0.75" customHeight="1">
      <c r="A96" s="46">
        <f t="shared" si="1"/>
        <v>2094</v>
      </c>
      <c r="B96" s="47">
        <v>0.042436999999999836</v>
      </c>
      <c r="C96" s="59">
        <f>+'Projection Matrix'!E124</f>
        <v>0.042436999999999836</v>
      </c>
      <c r="E96" s="59" t="s">
        <v>96</v>
      </c>
    </row>
    <row r="97" spans="1:5" ht="0.75" customHeight="1">
      <c r="A97" s="46">
        <f t="shared" si="1"/>
        <v>2095</v>
      </c>
      <c r="B97" s="47">
        <v>0.042436999999999836</v>
      </c>
      <c r="C97" s="59">
        <f>+'Projection Matrix'!E125</f>
        <v>0.042436999999999836</v>
      </c>
      <c r="E97" s="59" t="s">
        <v>96</v>
      </c>
    </row>
    <row r="98" spans="1:5" ht="0.75" customHeight="1">
      <c r="A98" s="46">
        <f t="shared" si="1"/>
        <v>2096</v>
      </c>
      <c r="B98" s="47">
        <v>0.042436999999999836</v>
      </c>
      <c r="C98" s="59">
        <f>+'Projection Matrix'!E126</f>
        <v>0.042436999999999836</v>
      </c>
      <c r="E98" s="59" t="s">
        <v>96</v>
      </c>
    </row>
    <row r="99" spans="1:5" ht="0.75" customHeight="1">
      <c r="A99" s="46">
        <f t="shared" si="1"/>
        <v>2097</v>
      </c>
      <c r="B99" s="47">
        <v>0.04243700000000006</v>
      </c>
      <c r="C99" s="59">
        <f>+'Projection Matrix'!E127</f>
        <v>0.042436999999999836</v>
      </c>
      <c r="E99" s="59" t="s">
        <v>96</v>
      </c>
    </row>
    <row r="100" spans="1:5" ht="0.75" customHeight="1">
      <c r="A100" s="46">
        <f t="shared" si="1"/>
        <v>2098</v>
      </c>
      <c r="B100" s="47">
        <v>0.042436999999999614</v>
      </c>
      <c r="C100" s="59">
        <f>+'Projection Matrix'!E128</f>
        <v>0.042436999999999836</v>
      </c>
      <c r="E100" s="59" t="s">
        <v>96</v>
      </c>
    </row>
    <row r="101" spans="1:5" ht="18.75">
      <c r="A101" s="46">
        <f t="shared" si="1"/>
        <v>2099</v>
      </c>
      <c r="B101" s="47">
        <v>0.042436999999999836</v>
      </c>
      <c r="C101" s="59">
        <f>+'Projection Matrix'!E129</f>
        <v>0.042436999999999836</v>
      </c>
      <c r="E101" s="59" t="s">
        <v>96</v>
      </c>
    </row>
    <row r="102" spans="1:5" ht="21" customHeight="1">
      <c r="A102" s="60">
        <f t="shared" si="1"/>
        <v>2100</v>
      </c>
      <c r="B102" s="47">
        <v>0.042436999999999836</v>
      </c>
      <c r="C102" s="59">
        <f>+'Projection Matrix'!E130</f>
        <v>0.042436999999999614</v>
      </c>
      <c r="E102" s="59" t="s">
        <v>96</v>
      </c>
    </row>
  </sheetData>
  <sheetProtection password="DF35" sheet="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131"/>
  <sheetViews>
    <sheetView zoomScale="125" zoomScaleNormal="125" zoomScalePageLayoutView="125" workbookViewId="0" topLeftCell="A1">
      <selection activeCell="A1" sqref="A1:G1"/>
    </sheetView>
  </sheetViews>
  <sheetFormatPr defaultColWidth="10.75390625" defaultRowHeight="12.75"/>
  <cols>
    <col min="1" max="1" width="15.875" style="1" customWidth="1"/>
    <col min="2" max="2" width="7.375" style="1" customWidth="1"/>
    <col min="3" max="3" width="9.25390625" style="1" customWidth="1"/>
    <col min="4" max="4" width="10.375" style="1" customWidth="1"/>
    <col min="5" max="5" width="7.875" style="1" customWidth="1"/>
    <col min="6" max="6" width="8.375" style="1" customWidth="1"/>
    <col min="7" max="7" width="9.375" style="1" customWidth="1"/>
    <col min="8" max="8" width="5.375" style="1" customWidth="1"/>
    <col min="9" max="10" width="2.375" style="24" customWidth="1"/>
    <col min="11" max="11" width="23.375" style="1" customWidth="1"/>
    <col min="12" max="12" width="11.375" style="1" customWidth="1"/>
    <col min="13" max="13" width="6.375" style="1" customWidth="1"/>
    <col min="14" max="14" width="8.125" style="1" customWidth="1"/>
    <col min="15" max="18" width="7.625" style="1" customWidth="1"/>
    <col min="19" max="16384" width="10.75390625" style="1" customWidth="1"/>
  </cols>
  <sheetData>
    <row r="1" spans="1:14" ht="15.75" customHeight="1" thickBot="1">
      <c r="A1" s="255" t="s">
        <v>110</v>
      </c>
      <c r="B1" s="256"/>
      <c r="C1" s="256"/>
      <c r="D1" s="256"/>
      <c r="E1" s="256"/>
      <c r="F1" s="256"/>
      <c r="G1" s="256"/>
      <c r="H1" s="156"/>
      <c r="K1" s="11"/>
      <c r="L1" s="21" t="s">
        <v>111</v>
      </c>
      <c r="M1" s="22"/>
      <c r="N1" s="11"/>
    </row>
    <row r="2" spans="1:14" ht="15.75" customHeight="1" thickBot="1">
      <c r="A2" s="257" t="s">
        <v>14</v>
      </c>
      <c r="B2" s="258"/>
      <c r="C2" s="258"/>
      <c r="D2" s="258"/>
      <c r="E2" s="258"/>
      <c r="F2" s="258"/>
      <c r="G2" s="259"/>
      <c r="H2" s="158"/>
      <c r="K2" s="13" t="s">
        <v>5</v>
      </c>
      <c r="L2" s="14" t="s">
        <v>6</v>
      </c>
      <c r="M2" s="15" t="s">
        <v>7</v>
      </c>
      <c r="N2" s="16" t="s">
        <v>8</v>
      </c>
    </row>
    <row r="3" spans="1:14" ht="15">
      <c r="A3" s="165" t="s">
        <v>25</v>
      </c>
      <c r="B3" s="166"/>
      <c r="C3" s="167"/>
      <c r="D3" s="168" t="s">
        <v>63</v>
      </c>
      <c r="E3" s="169" t="s">
        <v>64</v>
      </c>
      <c r="F3" s="170" t="s">
        <v>65</v>
      </c>
      <c r="G3" s="171" t="s">
        <v>12</v>
      </c>
      <c r="H3" s="12"/>
      <c r="I3" s="25"/>
      <c r="K3" s="17">
        <v>-0.008</v>
      </c>
      <c r="L3" s="18">
        <v>0.006</v>
      </c>
      <c r="M3" s="19">
        <v>-0.016</v>
      </c>
      <c r="N3" s="20">
        <v>0.02</v>
      </c>
    </row>
    <row r="4" spans="1:14" ht="15.75" customHeight="1">
      <c r="A4" s="161" t="s">
        <v>113</v>
      </c>
      <c r="B4" s="163">
        <f>+(G4+(F4-1)*E4)*$F$45</f>
        <v>0.0032573999999999993</v>
      </c>
      <c r="C4" s="162"/>
      <c r="D4" s="227">
        <f>+'Model Input Page'!D29</f>
        <v>0.025</v>
      </c>
      <c r="E4" s="227">
        <f>+'Model Input Page'!E29</f>
        <v>0.017</v>
      </c>
      <c r="F4" s="228">
        <f>+'Model Input Page'!F29</f>
        <v>1.4</v>
      </c>
      <c r="G4" s="227">
        <f>+'Model Input Page'!G29</f>
        <v>0.011</v>
      </c>
      <c r="H4" s="12"/>
      <c r="I4" s="25"/>
      <c r="K4" s="232" t="s">
        <v>114</v>
      </c>
      <c r="L4" s="233"/>
      <c r="M4" s="233"/>
      <c r="N4" s="234"/>
    </row>
    <row r="5" spans="1:14" ht="15">
      <c r="A5" s="161" t="s">
        <v>16</v>
      </c>
      <c r="B5" s="225">
        <f>+(G5+(F5-1)*E5)*$F$45</f>
        <v>0.0035868</v>
      </c>
      <c r="C5" s="162"/>
      <c r="D5" s="227">
        <f>+'Model Input Page'!D47</f>
        <v>0.024</v>
      </c>
      <c r="E5" s="227">
        <f>+'Model Input Page'!E47</f>
        <v>0.019</v>
      </c>
      <c r="F5" s="228">
        <f>+'Model Input Page'!F47</f>
        <v>1.4</v>
      </c>
      <c r="G5" s="227">
        <f>+'Model Input Page'!G47</f>
        <v>0.012</v>
      </c>
      <c r="H5" s="12"/>
      <c r="I5" s="10"/>
      <c r="K5" s="235" t="s">
        <v>9</v>
      </c>
      <c r="L5" s="236"/>
      <c r="M5" s="236"/>
      <c r="N5" s="237"/>
    </row>
    <row r="6" spans="1:14" ht="15" customHeight="1">
      <c r="A6" s="161" t="s">
        <v>17</v>
      </c>
      <c r="B6" s="225">
        <f>+(G6+(F6-1)*E6)*$F$45</f>
        <v>0.0035868</v>
      </c>
      <c r="C6" s="162"/>
      <c r="D6" s="227">
        <f>+'Model Input Page'!D48</f>
        <v>0.023</v>
      </c>
      <c r="E6" s="227">
        <f>+'Model Input Page'!E48</f>
        <v>0.019</v>
      </c>
      <c r="F6" s="228">
        <f>+'Model Input Page'!F48</f>
        <v>1.4</v>
      </c>
      <c r="G6" s="227">
        <f>+'Model Input Page'!G48</f>
        <v>0.012</v>
      </c>
      <c r="H6" s="12"/>
      <c r="I6" s="10"/>
      <c r="K6" s="238"/>
      <c r="L6" s="239" t="s">
        <v>10</v>
      </c>
      <c r="M6" s="239"/>
      <c r="N6" s="240"/>
    </row>
    <row r="7" spans="1:14" ht="15">
      <c r="A7" s="159" t="s">
        <v>66</v>
      </c>
      <c r="B7" s="226">
        <f>+'Model Input Page'!I37</f>
        <v>0.25</v>
      </c>
      <c r="C7" s="229">
        <v>0.5</v>
      </c>
      <c r="D7" s="160" t="s">
        <v>11</v>
      </c>
      <c r="E7" s="164"/>
      <c r="F7" s="230">
        <f>+'Model Input Page'!I38</f>
        <v>2075</v>
      </c>
      <c r="G7" s="231">
        <v>2075</v>
      </c>
      <c r="H7" s="12"/>
      <c r="I7" s="10"/>
      <c r="K7" s="61" t="s">
        <v>101</v>
      </c>
      <c r="L7" s="26"/>
      <c r="M7" s="26"/>
      <c r="N7" s="26"/>
    </row>
    <row r="8" spans="1:9" ht="15" hidden="1">
      <c r="A8" s="6" t="s">
        <v>79</v>
      </c>
      <c r="B8" s="6"/>
      <c r="C8" s="7" t="s">
        <v>105</v>
      </c>
      <c r="D8" s="8" t="s">
        <v>105</v>
      </c>
      <c r="E8" s="9">
        <f>+(G35/G10)^(1/25)-1</f>
        <v>0.07491563062903839</v>
      </c>
      <c r="F8" s="6">
        <f>+(B35-B10)/25</f>
        <v>0.0027589747266535225</v>
      </c>
      <c r="G8" s="9"/>
      <c r="H8" s="9">
        <f>+(G35/G10)^(1/25)-1</f>
        <v>0.07491563062903839</v>
      </c>
      <c r="I8" s="25"/>
    </row>
    <row r="9" spans="1:9" ht="37.5" customHeight="1">
      <c r="A9" s="172" t="s">
        <v>81</v>
      </c>
      <c r="B9" s="173" t="s">
        <v>67</v>
      </c>
      <c r="C9" s="174" t="s">
        <v>68</v>
      </c>
      <c r="D9" s="174" t="s">
        <v>13</v>
      </c>
      <c r="E9" s="174" t="s">
        <v>69</v>
      </c>
      <c r="F9" s="174" t="s">
        <v>70</v>
      </c>
      <c r="G9" s="174" t="s">
        <v>71</v>
      </c>
      <c r="H9" s="24"/>
      <c r="I9" s="25"/>
    </row>
    <row r="10" spans="1:11" ht="15.75" customHeight="1">
      <c r="A10" s="175">
        <v>1980</v>
      </c>
      <c r="B10" s="176">
        <v>0.09102563183366194</v>
      </c>
      <c r="C10" s="177">
        <f aca="true" t="shared" si="0" ref="C10:C38">+D10/B10</f>
        <v>11668.258570964095</v>
      </c>
      <c r="D10" s="178">
        <f aca="true" t="shared" si="1" ref="D10:D38">+D11/(1+E11)</f>
        <v>1062.1106088205481</v>
      </c>
      <c r="E10" s="179">
        <v>0.141078838174274</v>
      </c>
      <c r="F10" s="180">
        <v>0.09102563183366194</v>
      </c>
      <c r="G10" s="181">
        <v>1062.1106088205481</v>
      </c>
      <c r="H10" s="182">
        <v>0.141078838174274</v>
      </c>
      <c r="I10" s="25"/>
      <c r="K10" s="25"/>
    </row>
    <row r="11" spans="1:10" ht="15.75" customHeight="1">
      <c r="A11" s="183">
        <v>1981</v>
      </c>
      <c r="B11" s="176">
        <v>0.09403592890934662</v>
      </c>
      <c r="C11" s="177">
        <f t="shared" si="0"/>
        <v>12958.137905156931</v>
      </c>
      <c r="D11" s="178">
        <f t="shared" si="1"/>
        <v>1218.5305348468469</v>
      </c>
      <c r="E11" s="179">
        <v>0.14727272727272722</v>
      </c>
      <c r="F11" s="180">
        <v>0.09403592890934662</v>
      </c>
      <c r="G11" s="181">
        <v>1218.5305348468469</v>
      </c>
      <c r="H11" s="182">
        <v>0.14727272727272722</v>
      </c>
      <c r="I11" s="25"/>
      <c r="J11" s="25"/>
    </row>
    <row r="12" spans="1:10" ht="15.75" customHeight="1">
      <c r="A12" s="183">
        <v>1982</v>
      </c>
      <c r="B12" s="176">
        <v>0.10160860215053763</v>
      </c>
      <c r="C12" s="177">
        <f t="shared" si="0"/>
        <v>13379.788231670977</v>
      </c>
      <c r="D12" s="178">
        <f t="shared" si="1"/>
        <v>1359.5015792903016</v>
      </c>
      <c r="E12" s="179">
        <v>0.11568938193343903</v>
      </c>
      <c r="F12" s="180">
        <v>0.10160860215053763</v>
      </c>
      <c r="G12" s="181">
        <v>1359.5015792903016</v>
      </c>
      <c r="H12" s="182">
        <v>0.11568938193343903</v>
      </c>
      <c r="I12" s="25"/>
      <c r="J12" s="25"/>
    </row>
    <row r="13" spans="1:10" ht="15.75" customHeight="1">
      <c r="A13" s="183">
        <v>1983</v>
      </c>
      <c r="B13" s="176">
        <v>0.10329770690191423</v>
      </c>
      <c r="C13" s="177">
        <f t="shared" si="0"/>
        <v>14366.806694568384</v>
      </c>
      <c r="D13" s="178">
        <f t="shared" si="1"/>
        <v>1484.058187051984</v>
      </c>
      <c r="E13" s="179">
        <v>0.09161931818181812</v>
      </c>
      <c r="F13" s="180">
        <v>0.10329770690191423</v>
      </c>
      <c r="G13" s="181">
        <v>1484.058187051984</v>
      </c>
      <c r="H13" s="182">
        <v>0.09161931818181812</v>
      </c>
      <c r="I13" s="25"/>
      <c r="J13" s="25"/>
    </row>
    <row r="14" spans="1:10" ht="15.75" customHeight="1">
      <c r="A14" s="183">
        <v>1984</v>
      </c>
      <c r="B14" s="176">
        <v>0.10227855181531578</v>
      </c>
      <c r="C14" s="177">
        <f t="shared" si="0"/>
        <v>15831.627180503336</v>
      </c>
      <c r="D14" s="178">
        <f t="shared" si="1"/>
        <v>1619.2359009018721</v>
      </c>
      <c r="E14" s="179">
        <v>0.09108653220559537</v>
      </c>
      <c r="F14" s="180">
        <v>0.10227855181531578</v>
      </c>
      <c r="G14" s="181">
        <v>1619.2359009018721</v>
      </c>
      <c r="H14" s="182">
        <v>0.09108653220559537</v>
      </c>
      <c r="I14" s="25"/>
      <c r="J14" s="25"/>
    </row>
    <row r="15" spans="1:10" ht="15.75" customHeight="1">
      <c r="A15" s="183">
        <v>1985</v>
      </c>
      <c r="B15" s="176">
        <v>0.1042286093405682</v>
      </c>
      <c r="C15" s="177">
        <f t="shared" si="0"/>
        <v>16841.625163729914</v>
      </c>
      <c r="D15" s="178">
        <f t="shared" si="1"/>
        <v>1755.379169850688</v>
      </c>
      <c r="E15" s="179">
        <v>0.08407871198568873</v>
      </c>
      <c r="F15" s="180">
        <v>0.1042286093405682</v>
      </c>
      <c r="G15" s="181">
        <v>1755.379169850688</v>
      </c>
      <c r="H15" s="182">
        <v>0.08407871198568873</v>
      </c>
      <c r="I15" s="25"/>
      <c r="J15" s="25"/>
    </row>
    <row r="16" spans="1:10" ht="15.75" customHeight="1">
      <c r="A16" s="183">
        <v>1986</v>
      </c>
      <c r="B16" s="176">
        <v>0.10571479788473603</v>
      </c>
      <c r="C16" s="177">
        <f t="shared" si="0"/>
        <v>17646.086342258455</v>
      </c>
      <c r="D16" s="178">
        <f t="shared" si="1"/>
        <v>1865.4524511284537</v>
      </c>
      <c r="E16" s="179">
        <v>0.06270627062706269</v>
      </c>
      <c r="F16" s="180">
        <v>0.10571479788473603</v>
      </c>
      <c r="G16" s="181">
        <v>1865.4524511284537</v>
      </c>
      <c r="H16" s="182">
        <v>0.06270627062706269</v>
      </c>
      <c r="I16" s="25"/>
      <c r="J16" s="25"/>
    </row>
    <row r="17" spans="1:10" ht="15.75" customHeight="1">
      <c r="A17" s="183">
        <v>1987</v>
      </c>
      <c r="B17" s="176">
        <v>0.10822871610929423</v>
      </c>
      <c r="C17" s="177">
        <f t="shared" si="0"/>
        <v>18592.26366626624</v>
      </c>
      <c r="D17" s="178">
        <f t="shared" si="1"/>
        <v>2012.216826165475</v>
      </c>
      <c r="E17" s="179">
        <v>0.07867494824016563</v>
      </c>
      <c r="F17" s="180">
        <v>0.10822871610929423</v>
      </c>
      <c r="G17" s="181">
        <v>2012.216826165475</v>
      </c>
      <c r="H17" s="182">
        <v>0.07867494824016563</v>
      </c>
      <c r="I17" s="25"/>
      <c r="J17" s="25"/>
    </row>
    <row r="18" spans="1:10" ht="15.75" customHeight="1">
      <c r="A18" s="183">
        <v>1988</v>
      </c>
      <c r="B18" s="176">
        <v>0.11246326266703241</v>
      </c>
      <c r="C18" s="177">
        <f t="shared" si="0"/>
        <v>19832.541095012908</v>
      </c>
      <c r="D18" s="178">
        <f t="shared" si="1"/>
        <v>2230.432278523151</v>
      </c>
      <c r="E18" s="179">
        <v>0.10844529750479848</v>
      </c>
      <c r="F18" s="180">
        <v>0.11246326266703241</v>
      </c>
      <c r="G18" s="181">
        <v>2230.432278523151</v>
      </c>
      <c r="H18" s="182">
        <v>0.10844529750479848</v>
      </c>
      <c r="I18" s="25"/>
      <c r="J18" s="25"/>
    </row>
    <row r="19" spans="1:10" ht="15.75" customHeight="1">
      <c r="A19" s="183">
        <v>1989</v>
      </c>
      <c r="B19" s="176">
        <v>0.11645904748012545</v>
      </c>
      <c r="C19" s="177">
        <f t="shared" si="0"/>
        <v>21108.735946768167</v>
      </c>
      <c r="D19" s="178">
        <f t="shared" si="1"/>
        <v>2458.303281870105</v>
      </c>
      <c r="E19" s="179">
        <v>0.10216450216450212</v>
      </c>
      <c r="F19" s="180">
        <v>0.11645904748012545</v>
      </c>
      <c r="G19" s="181">
        <v>2458.303281870105</v>
      </c>
      <c r="H19" s="182">
        <v>0.10216450216450212</v>
      </c>
      <c r="I19" s="25"/>
      <c r="J19" s="25"/>
    </row>
    <row r="20" spans="1:10" ht="15.75" customHeight="1">
      <c r="A20" s="175">
        <v>1990</v>
      </c>
      <c r="B20" s="176">
        <v>0.12304096086574416</v>
      </c>
      <c r="C20" s="177">
        <f t="shared" si="0"/>
        <v>22082.66279184437</v>
      </c>
      <c r="D20" s="178">
        <f t="shared" si="1"/>
        <v>2717.0720483827477</v>
      </c>
      <c r="E20" s="179">
        <v>0.10526315789473695</v>
      </c>
      <c r="F20" s="180">
        <v>0.12304096086574416</v>
      </c>
      <c r="G20" s="181">
        <v>2717.0720483827477</v>
      </c>
      <c r="H20" s="182">
        <v>0.10526315789473695</v>
      </c>
      <c r="I20" s="25"/>
      <c r="J20" s="25"/>
    </row>
    <row r="21" spans="1:10" ht="15.75" customHeight="1">
      <c r="A21" s="183">
        <v>1991</v>
      </c>
      <c r="B21" s="176">
        <v>0.13035757767808</v>
      </c>
      <c r="C21" s="177">
        <f t="shared" si="0"/>
        <v>22546.826762878405</v>
      </c>
      <c r="D21" s="178">
        <f t="shared" si="1"/>
        <v>2939.149721136135</v>
      </c>
      <c r="E21" s="179">
        <v>0.08173418621179818</v>
      </c>
      <c r="F21" s="180">
        <v>0.13035757767808</v>
      </c>
      <c r="G21" s="181">
        <v>2939.149721136135</v>
      </c>
      <c r="H21" s="182">
        <v>0.08173418621179818</v>
      </c>
      <c r="I21" s="25"/>
      <c r="J21" s="25"/>
    </row>
    <row r="22" spans="1:10" ht="15.75" customHeight="1">
      <c r="A22" s="183">
        <v>1992</v>
      </c>
      <c r="B22" s="176">
        <v>0.13396800100983006</v>
      </c>
      <c r="C22" s="177">
        <f t="shared" si="0"/>
        <v>23539.225257729333</v>
      </c>
      <c r="D22" s="178">
        <f t="shared" si="1"/>
        <v>3153.5029530981005</v>
      </c>
      <c r="E22" s="179">
        <v>0.0729303547963207</v>
      </c>
      <c r="F22" s="180">
        <v>0.13396800100983006</v>
      </c>
      <c r="G22" s="181">
        <v>3153.5029530981005</v>
      </c>
      <c r="H22" s="182">
        <v>0.0729303547963207</v>
      </c>
      <c r="I22" s="25"/>
      <c r="J22" s="25"/>
    </row>
    <row r="23" spans="1:10" ht="15.75" customHeight="1">
      <c r="A23" s="183">
        <v>1993</v>
      </c>
      <c r="B23" s="176">
        <v>0.13707408297533571</v>
      </c>
      <c r="C23" s="177">
        <f t="shared" si="0"/>
        <v>24428.725039758443</v>
      </c>
      <c r="D23" s="178">
        <f t="shared" si="1"/>
        <v>3348.5450830815103</v>
      </c>
      <c r="E23" s="179">
        <v>0.061849357011634964</v>
      </c>
      <c r="F23" s="180">
        <v>0.13707408297533571</v>
      </c>
      <c r="G23" s="181">
        <v>3348.5450830815103</v>
      </c>
      <c r="H23" s="182">
        <v>0.061849357011634964</v>
      </c>
      <c r="I23" s="25"/>
      <c r="J23" s="25"/>
    </row>
    <row r="24" spans="1:10" ht="15.75" customHeight="1">
      <c r="A24" s="183">
        <v>1994</v>
      </c>
      <c r="B24" s="176">
        <v>0.13605327903622635</v>
      </c>
      <c r="C24" s="177">
        <f t="shared" si="0"/>
        <v>25676.546516681225</v>
      </c>
      <c r="D24" s="178">
        <f t="shared" si="1"/>
        <v>3493.3783479206763</v>
      </c>
      <c r="E24" s="179">
        <v>0.04325259515570945</v>
      </c>
      <c r="F24" s="180">
        <v>0.13605327903622635</v>
      </c>
      <c r="G24" s="181">
        <v>3493.3783479206763</v>
      </c>
      <c r="H24" s="182">
        <v>0.04325259515570945</v>
      </c>
      <c r="I24" s="25"/>
      <c r="J24" s="25"/>
    </row>
    <row r="25" spans="1:10" ht="15.75" customHeight="1">
      <c r="A25" s="183">
        <v>1995</v>
      </c>
      <c r="B25" s="176">
        <v>0.13740797815537265</v>
      </c>
      <c r="C25" s="177">
        <f t="shared" si="0"/>
        <v>26582.844666512097</v>
      </c>
      <c r="D25" s="178">
        <f t="shared" si="1"/>
        <v>3652.6949392437587</v>
      </c>
      <c r="E25" s="179">
        <v>0.04560530679933672</v>
      </c>
      <c r="F25" s="180">
        <v>0.13740797815537265</v>
      </c>
      <c r="G25" s="181">
        <v>3652.6949392437587</v>
      </c>
      <c r="H25" s="182">
        <v>0.04560530679933672</v>
      </c>
      <c r="I25" s="25"/>
      <c r="J25" s="25"/>
    </row>
    <row r="26" spans="1:10" ht="15.75" customHeight="1">
      <c r="A26" s="183">
        <v>1996</v>
      </c>
      <c r="B26" s="176">
        <v>0.13674205887244303</v>
      </c>
      <c r="C26" s="177">
        <f t="shared" si="0"/>
        <v>27799.716165051188</v>
      </c>
      <c r="D26" s="178">
        <f t="shared" si="1"/>
        <v>3801.390424478636</v>
      </c>
      <c r="E26" s="179">
        <v>0.04070843246100986</v>
      </c>
      <c r="F26" s="180">
        <v>0.13674205887244303</v>
      </c>
      <c r="G26" s="181">
        <v>3801.390424478636</v>
      </c>
      <c r="H26" s="182">
        <v>0.04070843246100986</v>
      </c>
      <c r="I26" s="25"/>
      <c r="J26" s="25"/>
    </row>
    <row r="27" spans="1:10" ht="15.75" customHeight="1">
      <c r="A27" s="183">
        <v>1997</v>
      </c>
      <c r="B27" s="176">
        <v>0.13551786423900872</v>
      </c>
      <c r="C27" s="177">
        <f t="shared" si="0"/>
        <v>29233.581809654006</v>
      </c>
      <c r="D27" s="178">
        <f t="shared" si="1"/>
        <v>3961.6725709006464</v>
      </c>
      <c r="E27" s="179">
        <v>0.04216408432816876</v>
      </c>
      <c r="F27" s="180">
        <v>0.13551786423900872</v>
      </c>
      <c r="G27" s="181">
        <v>3961.6725709006464</v>
      </c>
      <c r="H27" s="182">
        <v>0.04216408432816876</v>
      </c>
      <c r="I27" s="25"/>
      <c r="J27" s="25"/>
    </row>
    <row r="28" spans="1:10" ht="15.75" customHeight="1">
      <c r="A28" s="183">
        <v>1998</v>
      </c>
      <c r="B28" s="176">
        <v>0.13614839373499488</v>
      </c>
      <c r="C28" s="177">
        <f t="shared" si="0"/>
        <v>30459.84632008802</v>
      </c>
      <c r="D28" s="178">
        <f t="shared" si="1"/>
        <v>4147.059149894779</v>
      </c>
      <c r="E28" s="179">
        <v>0.04679502802827207</v>
      </c>
      <c r="F28" s="180">
        <v>0.13614839373499488</v>
      </c>
      <c r="G28" s="181">
        <v>4147.059149894779</v>
      </c>
      <c r="H28" s="182">
        <v>0.04679502802827207</v>
      </c>
      <c r="I28" s="25"/>
      <c r="J28" s="25"/>
    </row>
    <row r="29" spans="1:10" ht="15.75" customHeight="1">
      <c r="A29" s="183">
        <v>1999</v>
      </c>
      <c r="B29" s="176">
        <v>0.13651439299123905</v>
      </c>
      <c r="C29" s="177">
        <f t="shared" si="0"/>
        <v>31983.734913809356</v>
      </c>
      <c r="D29" s="178">
        <f t="shared" si="1"/>
        <v>4366.2401573513835</v>
      </c>
      <c r="E29" s="179">
        <v>0.05285215366705476</v>
      </c>
      <c r="F29" s="180">
        <v>0.13651439299123905</v>
      </c>
      <c r="G29" s="181">
        <v>4366.2401573513835</v>
      </c>
      <c r="H29" s="182">
        <v>0.05285215366705476</v>
      </c>
      <c r="I29" s="25"/>
      <c r="J29" s="25"/>
    </row>
    <row r="30" spans="1:10" ht="15.75" customHeight="1">
      <c r="A30" s="175">
        <v>2000</v>
      </c>
      <c r="B30" s="176">
        <f>1353.6/9817</f>
        <v>0.13788326372618925</v>
      </c>
      <c r="C30" s="177">
        <f t="shared" si="0"/>
        <v>33535.92918969192</v>
      </c>
      <c r="D30" s="178">
        <f t="shared" si="1"/>
        <v>4624.043368765098</v>
      </c>
      <c r="E30" s="179">
        <v>0.059044670499778906</v>
      </c>
      <c r="F30" s="180">
        <v>0.13788326372618925</v>
      </c>
      <c r="G30" s="184">
        <v>4624.043368765098</v>
      </c>
      <c r="H30" s="182">
        <v>0.059044670499778906</v>
      </c>
      <c r="I30" s="25"/>
      <c r="J30" s="25"/>
    </row>
    <row r="31" spans="1:10" ht="15.75" customHeight="1">
      <c r="A31" s="183">
        <v>2001</v>
      </c>
      <c r="B31" s="176">
        <f>1469.6/10128</f>
        <v>0.14510268562401263</v>
      </c>
      <c r="C31" s="177">
        <f t="shared" si="0"/>
        <v>34269.58459172117</v>
      </c>
      <c r="D31" s="178">
        <f t="shared" si="1"/>
        <v>4972.608759478024</v>
      </c>
      <c r="E31" s="179">
        <v>0.07538108164543744</v>
      </c>
      <c r="F31" s="180">
        <v>0.14510268562401263</v>
      </c>
      <c r="G31" s="184">
        <v>4972.608759478024</v>
      </c>
      <c r="H31" s="182">
        <v>0.07538108164543744</v>
      </c>
      <c r="I31" s="25"/>
      <c r="J31" s="25"/>
    </row>
    <row r="32" spans="1:10" ht="15.75" customHeight="1">
      <c r="A32" s="183">
        <v>2002</v>
      </c>
      <c r="B32" s="176">
        <f>1603.4/10470</f>
        <v>0.15314231136580708</v>
      </c>
      <c r="C32" s="177">
        <f t="shared" si="0"/>
        <v>35080.759344171915</v>
      </c>
      <c r="D32" s="178">
        <f t="shared" si="1"/>
        <v>5372.348570434122</v>
      </c>
      <c r="E32" s="179">
        <v>0.0803883495145632</v>
      </c>
      <c r="F32" s="180">
        <v>0.15314231136580708</v>
      </c>
      <c r="G32" s="184">
        <v>5372.348570434122</v>
      </c>
      <c r="H32" s="182">
        <v>0.0803883495145632</v>
      </c>
      <c r="I32" s="25"/>
      <c r="J32" s="25"/>
    </row>
    <row r="33" spans="1:10" ht="15.75" customHeight="1">
      <c r="A33" s="183">
        <v>2003</v>
      </c>
      <c r="B33" s="176">
        <f>1732.4/10961</f>
        <v>0.15805127269409727</v>
      </c>
      <c r="C33" s="177">
        <f t="shared" si="0"/>
        <v>36489.80807043491</v>
      </c>
      <c r="D33" s="178">
        <f t="shared" si="1"/>
        <v>5767.26060589558</v>
      </c>
      <c r="E33" s="179">
        <v>0.07350826743350103</v>
      </c>
      <c r="F33" s="180">
        <v>0.15805127269409727</v>
      </c>
      <c r="G33" s="184">
        <v>5767.26060589558</v>
      </c>
      <c r="H33" s="182">
        <v>0.07350826743350103</v>
      </c>
      <c r="I33" s="25"/>
      <c r="J33" s="25"/>
    </row>
    <row r="34" spans="1:10" ht="15.75" customHeight="1">
      <c r="A34" s="183">
        <v>2004</v>
      </c>
      <c r="B34" s="176">
        <f>1852.3/11686</f>
        <v>0.15850590450111243</v>
      </c>
      <c r="C34" s="177">
        <f t="shared" si="0"/>
        <v>38547.66600175489</v>
      </c>
      <c r="D34" s="178">
        <f t="shared" si="1"/>
        <v>6110.032666014939</v>
      </c>
      <c r="E34" s="179">
        <v>0.05943412020760097</v>
      </c>
      <c r="F34" s="180">
        <v>0.15850590450111243</v>
      </c>
      <c r="G34" s="184">
        <v>6110.032666014939</v>
      </c>
      <c r="H34" s="182">
        <v>0.05943412020760097</v>
      </c>
      <c r="I34" s="25"/>
      <c r="J34" s="25"/>
    </row>
    <row r="35" spans="1:10" ht="15.75" customHeight="1">
      <c r="A35" s="183">
        <v>2005</v>
      </c>
      <c r="B35" s="185">
        <v>0.16</v>
      </c>
      <c r="C35" s="177">
        <f t="shared" si="0"/>
        <v>40402.59100402379</v>
      </c>
      <c r="D35" s="178">
        <f t="shared" si="1"/>
        <v>6464.414560643806</v>
      </c>
      <c r="E35" s="179">
        <v>0.058</v>
      </c>
      <c r="F35" s="180">
        <v>0.16</v>
      </c>
      <c r="G35" s="186">
        <v>6464.414560643806</v>
      </c>
      <c r="H35" s="182">
        <v>0.058</v>
      </c>
      <c r="I35" s="25"/>
      <c r="J35" s="25"/>
    </row>
    <row r="36" spans="1:10" ht="15.75" customHeight="1">
      <c r="A36" s="183">
        <v>2006</v>
      </c>
      <c r="B36" s="185">
        <v>0.161</v>
      </c>
      <c r="C36" s="177">
        <f t="shared" si="0"/>
        <v>42359.98361167214</v>
      </c>
      <c r="D36" s="178">
        <f t="shared" si="1"/>
        <v>6819.957361479215</v>
      </c>
      <c r="E36" s="179">
        <v>0.055</v>
      </c>
      <c r="F36" s="180">
        <v>0.161</v>
      </c>
      <c r="G36" s="186">
        <v>6819.957361479215</v>
      </c>
      <c r="H36" s="182">
        <v>0.055</v>
      </c>
      <c r="I36" s="25"/>
      <c r="J36" s="25"/>
    </row>
    <row r="37" spans="1:10" ht="15.75" customHeight="1">
      <c r="A37" s="183">
        <v>2007</v>
      </c>
      <c r="B37" s="185">
        <v>0.162</v>
      </c>
      <c r="C37" s="177">
        <f t="shared" si="0"/>
        <v>44245.52584515219</v>
      </c>
      <c r="D37" s="178">
        <f t="shared" si="1"/>
        <v>7167.775186914655</v>
      </c>
      <c r="E37" s="179">
        <v>0.051</v>
      </c>
      <c r="F37" s="180">
        <v>0.162</v>
      </c>
      <c r="G37" s="186">
        <v>7167.775186914655</v>
      </c>
      <c r="H37" s="182">
        <v>0.051</v>
      </c>
      <c r="I37" s="25"/>
      <c r="J37" s="25"/>
    </row>
    <row r="38" spans="1:10" ht="15.75" customHeight="1">
      <c r="A38" s="183">
        <v>2008</v>
      </c>
      <c r="B38" s="185">
        <v>0.1664</v>
      </c>
      <c r="C38" s="177">
        <f t="shared" si="0"/>
        <v>44712.4437741431</v>
      </c>
      <c r="D38" s="178">
        <f t="shared" si="1"/>
        <v>7440.150644017413</v>
      </c>
      <c r="E38" s="179">
        <v>0.038</v>
      </c>
      <c r="F38" s="180">
        <v>0.1664</v>
      </c>
      <c r="G38" s="186">
        <v>7440.150644017413</v>
      </c>
      <c r="H38" s="182">
        <v>0.038</v>
      </c>
      <c r="I38" s="25"/>
      <c r="J38" s="25"/>
    </row>
    <row r="39" spans="1:10" ht="15.75" customHeight="1">
      <c r="A39" s="187">
        <v>2009</v>
      </c>
      <c r="B39" s="188">
        <v>0.1761</v>
      </c>
      <c r="C39" s="177">
        <f aca="true" t="shared" si="2" ref="C39:C45">+D39/B39</f>
        <v>43559.31467337849</v>
      </c>
      <c r="D39" s="178">
        <f aca="true" t="shared" si="3" ref="D39:D44">+D40/(1+E40)</f>
        <v>7670.795313981952</v>
      </c>
      <c r="E39" s="189">
        <v>0.031</v>
      </c>
      <c r="F39" s="190">
        <v>0.1761</v>
      </c>
      <c r="G39" s="191">
        <v>7670.795313981952</v>
      </c>
      <c r="H39" s="192">
        <v>0.031</v>
      </c>
      <c r="I39" s="25"/>
      <c r="J39" s="25"/>
    </row>
    <row r="40" spans="1:10" ht="15.75" customHeight="1">
      <c r="A40" s="193">
        <f aca="true" t="shared" si="4" ref="A40:A103">+A39+1</f>
        <v>2010</v>
      </c>
      <c r="B40" s="194">
        <v>0.1785</v>
      </c>
      <c r="C40" s="177">
        <f t="shared" si="2"/>
        <v>44262.85251205273</v>
      </c>
      <c r="D40" s="178">
        <f t="shared" si="3"/>
        <v>7900.919173401411</v>
      </c>
      <c r="E40" s="195">
        <v>0.03</v>
      </c>
      <c r="F40" s="180">
        <v>0.1785</v>
      </c>
      <c r="G40" s="184">
        <v>7900.919173401411</v>
      </c>
      <c r="H40" s="182">
        <v>0.03</v>
      </c>
      <c r="I40" s="25"/>
      <c r="J40" s="25"/>
    </row>
    <row r="41" spans="1:10" ht="15.75" customHeight="1">
      <c r="A41" s="193">
        <f t="shared" si="4"/>
        <v>2011</v>
      </c>
      <c r="B41" s="196">
        <f>+B40*(B$45/B$40)^0.2</f>
        <v>0.17939105927112647</v>
      </c>
      <c r="C41" s="177">
        <f t="shared" si="2"/>
        <v>45738.648263269395</v>
      </c>
      <c r="D41" s="178">
        <f t="shared" si="3"/>
        <v>8205.104561577366</v>
      </c>
      <c r="E41" s="195">
        <v>0.0385</v>
      </c>
      <c r="F41" s="180">
        <v>0.17939105927112647</v>
      </c>
      <c r="G41" s="184">
        <v>8205.104561577366</v>
      </c>
      <c r="H41" s="182">
        <v>0.0385</v>
      </c>
      <c r="I41" s="25"/>
      <c r="J41" s="25"/>
    </row>
    <row r="42" spans="1:10" ht="15.75" customHeight="1">
      <c r="A42" s="193">
        <f t="shared" si="4"/>
        <v>2012</v>
      </c>
      <c r="B42" s="196">
        <f>+B41*(B$45/B$40)^0.2</f>
        <v>0.1802865666465928</v>
      </c>
      <c r="C42" s="177">
        <f t="shared" si="2"/>
        <v>47031.54101633837</v>
      </c>
      <c r="D42" s="178">
        <f t="shared" si="3"/>
        <v>8479.15505393405</v>
      </c>
      <c r="E42" s="29">
        <f>'Model Input Page'!I11</f>
        <v>0.0334</v>
      </c>
      <c r="F42" s="180">
        <v>0.1802865666465928</v>
      </c>
      <c r="G42" s="184">
        <v>8479.15505393405</v>
      </c>
      <c r="H42" s="182">
        <v>0.0334</v>
      </c>
      <c r="I42" s="25"/>
      <c r="J42" s="25"/>
    </row>
    <row r="43" spans="1:13" ht="15.75" customHeight="1">
      <c r="A43" s="193">
        <f t="shared" si="4"/>
        <v>2013</v>
      </c>
      <c r="B43" s="196">
        <f>+B42*(B$45/B$40)^0.2</f>
        <v>0.1811865443310186</v>
      </c>
      <c r="C43" s="177">
        <f t="shared" si="2"/>
        <v>48959.993415510675</v>
      </c>
      <c r="D43" s="178">
        <f t="shared" si="3"/>
        <v>8870.892017425804</v>
      </c>
      <c r="E43" s="29">
        <f>'Model Input Page'!I12</f>
        <v>0.0462</v>
      </c>
      <c r="F43" s="180">
        <v>0.1811865443310186</v>
      </c>
      <c r="G43" s="184">
        <v>8870.892017425804</v>
      </c>
      <c r="H43" s="182">
        <v>0.0462</v>
      </c>
      <c r="I43" s="25"/>
      <c r="J43" s="25"/>
      <c r="K43" s="30" t="s">
        <v>106</v>
      </c>
      <c r="L43" s="31" t="s">
        <v>78</v>
      </c>
      <c r="M43" s="31"/>
    </row>
    <row r="44" spans="1:18" ht="15.75" customHeight="1">
      <c r="A44" s="197">
        <f t="shared" si="4"/>
        <v>2014</v>
      </c>
      <c r="B44" s="194">
        <f>+B43*(B$45/B$40)^0.2</f>
        <v>0.18209101463986746</v>
      </c>
      <c r="C44" s="177">
        <f t="shared" si="2"/>
        <v>52297.48760278274</v>
      </c>
      <c r="D44" s="178">
        <f t="shared" si="3"/>
        <v>9522.9025807066</v>
      </c>
      <c r="E44" s="29">
        <f>'Model Input Page'!I13</f>
        <v>0.0735</v>
      </c>
      <c r="F44" s="180">
        <v>0.18209101463986746</v>
      </c>
      <c r="G44" s="184">
        <v>9522.9025807066</v>
      </c>
      <c r="H44" s="182">
        <v>0.0735</v>
      </c>
      <c r="I44" s="25"/>
      <c r="J44" s="25"/>
      <c r="K44" s="4"/>
      <c r="L44" s="3"/>
      <c r="M44" s="2"/>
      <c r="O44" s="13"/>
      <c r="P44" s="14"/>
      <c r="Q44" s="15"/>
      <c r="R44" s="16"/>
    </row>
    <row r="45" spans="1:18" ht="15.75" customHeight="1">
      <c r="A45" s="183">
        <f t="shared" si="4"/>
        <v>2015</v>
      </c>
      <c r="B45" s="27">
        <f>+'Model Input Page'!E17</f>
        <v>0.183</v>
      </c>
      <c r="C45" s="198">
        <f t="shared" si="2"/>
        <v>54644.8087431694</v>
      </c>
      <c r="D45" s="28">
        <f>+'Model Input Page'!G17</f>
        <v>10000</v>
      </c>
      <c r="E45" s="29">
        <f>'Model Input Page'!I14</f>
        <v>0.0501</v>
      </c>
      <c r="F45" s="180">
        <v>0.183</v>
      </c>
      <c r="G45" s="184">
        <v>10000</v>
      </c>
      <c r="H45" s="182">
        <v>0.0501</v>
      </c>
      <c r="I45" s="25"/>
      <c r="J45" s="25"/>
      <c r="K45" s="5">
        <f aca="true" t="shared" si="5" ref="K45:K76">IF(B44&lt;$B$7,1,1-((B44-$B$7)/$B$7)^$C$7)</f>
        <v>1</v>
      </c>
      <c r="L45" s="3">
        <f>AVERAGE(M35:M45)</f>
        <v>1</v>
      </c>
      <c r="M45" s="2">
        <f aca="true" t="shared" si="6" ref="M45:M76">IF(A45&lt;$F$7,1,0)</f>
        <v>1</v>
      </c>
      <c r="O45" s="23">
        <f aca="true" t="shared" si="7" ref="O45:O87">+$B45*((1+K$3)^($A45-$A$40))</f>
        <v>0.17579618678184342</v>
      </c>
      <c r="P45" s="14">
        <f aca="true" t="shared" si="8" ref="P45:P87">+$B45*((1+L$3)^($A45-$A$40))</f>
        <v>0.188556276467263</v>
      </c>
      <c r="Q45" s="32">
        <f aca="true" t="shared" si="9" ref="Q45:Q87">+O45*$C45*((1+M$3)^($A45-$A$40))</f>
        <v>8862.042999246214</v>
      </c>
      <c r="R45" s="33">
        <f aca="true" t="shared" si="10" ref="R45:R87">+P45*$C45*((1+N$3)^($A45-$A$40))</f>
        <v>11376.030883627158</v>
      </c>
    </row>
    <row r="46" spans="1:18" ht="15.75" customHeight="1">
      <c r="A46" s="183">
        <f t="shared" si="4"/>
        <v>2016</v>
      </c>
      <c r="B46" s="199">
        <f aca="true" t="shared" si="11" ref="B46:B55">+B45+B$4*K46*L46</f>
        <v>0.1862574</v>
      </c>
      <c r="C46" s="200">
        <f aca="true" t="shared" si="12" ref="C46:C55">+C45*(1+E$4)*(1+D$4)</f>
        <v>56963.11475409835</v>
      </c>
      <c r="D46" s="201">
        <f>+B46*C46</f>
        <v>10609.801649999998</v>
      </c>
      <c r="E46" s="202">
        <f>+D46/D45-1</f>
        <v>0.0609801649999997</v>
      </c>
      <c r="F46" s="203">
        <v>0.186293</v>
      </c>
      <c r="G46" s="181">
        <v>10609.801649999998</v>
      </c>
      <c r="H46" s="204">
        <v>0.06118295368852422</v>
      </c>
      <c r="I46" s="25"/>
      <c r="J46" s="25"/>
      <c r="K46" s="5">
        <f t="shared" si="5"/>
        <v>1</v>
      </c>
      <c r="L46" s="3">
        <f>AVERAGE(M36:M46)</f>
        <v>1</v>
      </c>
      <c r="M46" s="2">
        <f t="shared" si="6"/>
        <v>1</v>
      </c>
      <c r="O46" s="23">
        <f t="shared" si="7"/>
        <v>0.17749395603530774</v>
      </c>
      <c r="P46" s="14">
        <f t="shared" si="8"/>
        <v>0.19306405365751056</v>
      </c>
      <c r="Q46" s="32">
        <f t="shared" si="9"/>
        <v>9177.996513167462</v>
      </c>
      <c r="R46" s="33">
        <f t="shared" si="10"/>
        <v>12385.004814353564</v>
      </c>
    </row>
    <row r="47" spans="1:18" ht="15.75" customHeight="1">
      <c r="A47" s="183">
        <f t="shared" si="4"/>
        <v>2017</v>
      </c>
      <c r="B47" s="199">
        <f t="shared" si="11"/>
        <v>0.18951479999999998</v>
      </c>
      <c r="C47" s="200">
        <f t="shared" si="12"/>
        <v>59379.774897540956</v>
      </c>
      <c r="D47" s="201">
        <f aca="true" t="shared" si="13" ref="D47:D110">+B47*C47</f>
        <v>11253.346163752494</v>
      </c>
      <c r="E47" s="202">
        <f aca="true" t="shared" si="14" ref="E47:E110">+D47/D46-1</f>
        <v>0.06065565926508132</v>
      </c>
      <c r="F47" s="205">
        <v>0.18958599999999998</v>
      </c>
      <c r="G47" s="181">
        <v>11253.346163752494</v>
      </c>
      <c r="H47" s="204">
        <v>0.06085137954727182</v>
      </c>
      <c r="I47" s="25"/>
      <c r="J47" s="25"/>
      <c r="K47" s="5">
        <f t="shared" si="5"/>
        <v>1</v>
      </c>
      <c r="L47" s="3">
        <f>AVERAGE(M37:M47)</f>
        <v>1</v>
      </c>
      <c r="M47" s="2">
        <f t="shared" si="6"/>
        <v>1</v>
      </c>
      <c r="O47" s="23">
        <f t="shared" si="7"/>
        <v>0.1791533100247626</v>
      </c>
      <c r="P47" s="14">
        <f t="shared" si="8"/>
        <v>0.19761913614808824</v>
      </c>
      <c r="Q47" s="32">
        <f t="shared" si="9"/>
        <v>9502.30732861313</v>
      </c>
      <c r="R47" s="33">
        <f t="shared" si="10"/>
        <v>13479.343655028546</v>
      </c>
    </row>
    <row r="48" spans="1:18" ht="15.75" customHeight="1">
      <c r="A48" s="183">
        <f t="shared" si="4"/>
        <v>2018</v>
      </c>
      <c r="B48" s="199">
        <f t="shared" si="11"/>
        <v>0.19277219999999998</v>
      </c>
      <c r="C48" s="200">
        <f t="shared" si="12"/>
        <v>61898.961847569124</v>
      </c>
      <c r="D48" s="201">
        <f t="shared" si="13"/>
        <v>11932.399053071964</v>
      </c>
      <c r="E48" s="202">
        <f t="shared" si="14"/>
        <v>0.06034230880648894</v>
      </c>
      <c r="F48" s="205">
        <v>0.19287899999999997</v>
      </c>
      <c r="G48" s="181">
        <v>11932.399053071964</v>
      </c>
      <c r="H48" s="204">
        <v>0.060531323911048096</v>
      </c>
      <c r="I48" s="25"/>
      <c r="J48" s="25"/>
      <c r="K48" s="5">
        <f t="shared" si="5"/>
        <v>1</v>
      </c>
      <c r="L48" s="3">
        <f>AVERAGE(M39:M48)</f>
        <v>1</v>
      </c>
      <c r="M48" s="2">
        <f t="shared" si="6"/>
        <v>1</v>
      </c>
      <c r="O48" s="23">
        <f t="shared" si="7"/>
        <v>0.18077475473719992</v>
      </c>
      <c r="P48" s="14">
        <f t="shared" si="8"/>
        <v>0.20222192932262123</v>
      </c>
      <c r="Q48" s="32">
        <f t="shared" si="9"/>
        <v>9835.171417413965</v>
      </c>
      <c r="R48" s="33">
        <f t="shared" si="10"/>
        <v>14666.044176255347</v>
      </c>
    </row>
    <row r="49" spans="1:18" ht="15.75" customHeight="1">
      <c r="A49" s="183">
        <f t="shared" si="4"/>
        <v>2019</v>
      </c>
      <c r="B49" s="199">
        <f t="shared" si="11"/>
        <v>0.19602959999999997</v>
      </c>
      <c r="C49" s="200">
        <f t="shared" si="12"/>
        <v>64525.025303952236</v>
      </c>
      <c r="D49" s="201">
        <f t="shared" si="13"/>
        <v>12648.814900323634</v>
      </c>
      <c r="E49" s="202">
        <f t="shared" si="14"/>
        <v>0.060039548129865006</v>
      </c>
      <c r="F49" s="205">
        <v>0.19617199999999996</v>
      </c>
      <c r="G49" s="181">
        <v>12648.814900323634</v>
      </c>
      <c r="H49" s="204">
        <v>0.06022219681769392</v>
      </c>
      <c r="I49" s="25"/>
      <c r="J49" s="25"/>
      <c r="K49" s="5">
        <f t="shared" si="5"/>
        <v>1</v>
      </c>
      <c r="L49" s="3">
        <f>AVERAGE(M40:M49)</f>
        <v>1</v>
      </c>
      <c r="M49" s="2">
        <f t="shared" si="6"/>
        <v>1</v>
      </c>
      <c r="O49" s="23">
        <f t="shared" si="7"/>
        <v>0.18235879052239665</v>
      </c>
      <c r="P49" s="14">
        <f t="shared" si="8"/>
        <v>0.20687284172634726</v>
      </c>
      <c r="Q49" s="32">
        <f t="shared" si="9"/>
        <v>10176.789054978108</v>
      </c>
      <c r="R49" s="33">
        <f t="shared" si="10"/>
        <v>15952.66368974904</v>
      </c>
    </row>
    <row r="50" spans="1:18" ht="15.75" customHeight="1">
      <c r="A50" s="206">
        <f t="shared" si="4"/>
        <v>2020</v>
      </c>
      <c r="B50" s="63">
        <f t="shared" si="11"/>
        <v>0.19928699999999996</v>
      </c>
      <c r="C50" s="207">
        <f t="shared" si="12"/>
        <v>67262.49950247239</v>
      </c>
      <c r="D50" s="62">
        <f t="shared" si="13"/>
        <v>13404.541738349213</v>
      </c>
      <c r="E50" s="202">
        <f t="shared" si="14"/>
        <v>0.059746849327856344</v>
      </c>
      <c r="F50" s="205">
        <v>0.19946499999999995</v>
      </c>
      <c r="G50" s="181">
        <v>13404.541738349213</v>
      </c>
      <c r="H50" s="204">
        <v>0.05992344791815296</v>
      </c>
      <c r="I50" s="25"/>
      <c r="J50" s="25"/>
      <c r="K50" s="5">
        <f t="shared" si="5"/>
        <v>1</v>
      </c>
      <c r="L50" s="3">
        <f>AVERAGE(M42:M50)</f>
        <v>1</v>
      </c>
      <c r="M50" s="2">
        <f t="shared" si="6"/>
        <v>1</v>
      </c>
      <c r="O50" s="23">
        <f t="shared" si="7"/>
        <v>0.18390591215072705</v>
      </c>
      <c r="P50" s="14">
        <f t="shared" si="8"/>
        <v>0.21157228508946238</v>
      </c>
      <c r="Q50" s="32">
        <f t="shared" si="9"/>
        <v>10527.36491096994</v>
      </c>
      <c r="R50" s="33">
        <f t="shared" si="10"/>
        <v>17347.364189982032</v>
      </c>
    </row>
    <row r="51" spans="1:18" ht="15.75" customHeight="1">
      <c r="A51" s="183">
        <f t="shared" si="4"/>
        <v>2021</v>
      </c>
      <c r="B51" s="199">
        <f t="shared" si="11"/>
        <v>0.20254439999999996</v>
      </c>
      <c r="C51" s="200">
        <f t="shared" si="12"/>
        <v>70116.11104386477</v>
      </c>
      <c r="D51" s="201">
        <f t="shared" si="13"/>
        <v>14201.62564171296</v>
      </c>
      <c r="E51" s="202">
        <f t="shared" si="14"/>
        <v>0.059463719008264304</v>
      </c>
      <c r="F51" s="205">
        <v>0.20275799999999994</v>
      </c>
      <c r="G51" s="181">
        <v>14201.62564171296</v>
      </c>
      <c r="H51" s="204">
        <v>0.05963456320657756</v>
      </c>
      <c r="I51" s="25"/>
      <c r="J51" s="25"/>
      <c r="K51" s="5">
        <f t="shared" si="5"/>
        <v>1</v>
      </c>
      <c r="L51" s="3">
        <f>AVERAGE(M42:M51)</f>
        <v>1</v>
      </c>
      <c r="M51" s="2">
        <f t="shared" si="6"/>
        <v>1</v>
      </c>
      <c r="O51" s="23">
        <f t="shared" si="7"/>
        <v>0.18541660887041073</v>
      </c>
      <c r="P51" s="14">
        <f t="shared" si="8"/>
        <v>0.21632067435063274</v>
      </c>
      <c r="Q51" s="32">
        <f t="shared" si="9"/>
        <v>10887.10814184595</v>
      </c>
      <c r="R51" s="33">
        <f t="shared" si="10"/>
        <v>18858.959925539148</v>
      </c>
    </row>
    <row r="52" spans="1:18" ht="15.75" customHeight="1">
      <c r="A52" s="183">
        <f t="shared" si="4"/>
        <v>2022</v>
      </c>
      <c r="B52" s="199">
        <f t="shared" si="11"/>
        <v>0.20580179999999995</v>
      </c>
      <c r="C52" s="200">
        <f t="shared" si="12"/>
        <v>73090.78705490073</v>
      </c>
      <c r="D52" s="201">
        <f t="shared" si="13"/>
        <v>15042.215539315266</v>
      </c>
      <c r="E52" s="202">
        <f t="shared" si="14"/>
        <v>0.059189695518612195</v>
      </c>
      <c r="F52" s="205">
        <v>0.20605099999999993</v>
      </c>
      <c r="G52" s="181">
        <v>15042.215539315266</v>
      </c>
      <c r="H52" s="204">
        <v>0.05935506206906749</v>
      </c>
      <c r="I52" s="25"/>
      <c r="J52" s="25"/>
      <c r="K52" s="5">
        <f t="shared" si="5"/>
        <v>1</v>
      </c>
      <c r="L52" s="3">
        <f>AVERAGE(M43:M52)</f>
        <v>1</v>
      </c>
      <c r="M52" s="2">
        <f t="shared" si="6"/>
        <v>1</v>
      </c>
      <c r="O52" s="23">
        <f t="shared" si="7"/>
        <v>0.18689136446420182</v>
      </c>
      <c r="P52" s="14">
        <f t="shared" si="8"/>
        <v>0.22111842768067394</v>
      </c>
      <c r="Q52" s="32">
        <f t="shared" si="9"/>
        <v>11256.232485284856</v>
      </c>
      <c r="R52" s="33">
        <f t="shared" si="10"/>
        <v>20496.968663806652</v>
      </c>
    </row>
    <row r="53" spans="1:18" ht="15.75" customHeight="1">
      <c r="A53" s="183">
        <f t="shared" si="4"/>
        <v>2023</v>
      </c>
      <c r="B53" s="199">
        <f t="shared" si="11"/>
        <v>0.20905919999999995</v>
      </c>
      <c r="C53" s="200">
        <f t="shared" si="12"/>
        <v>76191.66369570489</v>
      </c>
      <c r="D53" s="201">
        <f t="shared" si="13"/>
        <v>15928.568258893103</v>
      </c>
      <c r="E53" s="202">
        <f t="shared" si="14"/>
        <v>0.05892434643428768</v>
      </c>
      <c r="F53" s="205">
        <v>0.20934399999999992</v>
      </c>
      <c r="G53" s="181">
        <v>15928.568258893103</v>
      </c>
      <c r="H53" s="204">
        <v>0.05908449461541054</v>
      </c>
      <c r="I53" s="25"/>
      <c r="J53" s="25"/>
      <c r="K53" s="5">
        <f t="shared" si="5"/>
        <v>1</v>
      </c>
      <c r="L53" s="3">
        <f>AVERAGE(M44:M53)</f>
        <v>1</v>
      </c>
      <c r="M53" s="2">
        <f t="shared" si="6"/>
        <v>1</v>
      </c>
      <c r="O53" s="23">
        <f t="shared" si="7"/>
        <v>0.18833065730552456</v>
      </c>
      <c r="P53" s="14">
        <f t="shared" si="8"/>
        <v>0.225965966506399</v>
      </c>
      <c r="Q53" s="32">
        <f t="shared" si="9"/>
        <v>11634.956356549998</v>
      </c>
      <c r="R53" s="33">
        <f t="shared" si="10"/>
        <v>22271.66693270442</v>
      </c>
    </row>
    <row r="54" spans="1:18" ht="15.75" customHeight="1">
      <c r="A54" s="183">
        <f t="shared" si="4"/>
        <v>2024</v>
      </c>
      <c r="B54" s="199">
        <f t="shared" si="11"/>
        <v>0.21231659999999994</v>
      </c>
      <c r="C54" s="200">
        <f t="shared" si="12"/>
        <v>79424.09502799516</v>
      </c>
      <c r="D54" s="201">
        <f t="shared" si="13"/>
        <v>16863.053814420833</v>
      </c>
      <c r="E54" s="202">
        <f t="shared" si="14"/>
        <v>0.05866726628151242</v>
      </c>
      <c r="F54" s="205">
        <v>0.2126369999999999</v>
      </c>
      <c r="G54" s="181">
        <v>16863.053814420833</v>
      </c>
      <c r="H54" s="204">
        <v>0.05882243926264907</v>
      </c>
      <c r="I54" s="25"/>
      <c r="J54" s="25"/>
      <c r="K54" s="5">
        <f t="shared" si="5"/>
        <v>1</v>
      </c>
      <c r="L54" s="3">
        <f>AVERAGE(M45:M54)</f>
        <v>1</v>
      </c>
      <c r="M54" s="2">
        <f t="shared" si="6"/>
        <v>1</v>
      </c>
      <c r="O54" s="23">
        <f t="shared" si="7"/>
        <v>0.1897349604140604</v>
      </c>
      <c r="P54" s="14">
        <f t="shared" si="8"/>
        <v>0.23086371553463625</v>
      </c>
      <c r="Q54" s="32">
        <f t="shared" si="9"/>
        <v>12023.502946822678</v>
      </c>
      <c r="R54" s="33">
        <f t="shared" si="10"/>
        <v>24194.149544774853</v>
      </c>
    </row>
    <row r="55" spans="1:18" ht="15.75" customHeight="1">
      <c r="A55" s="206">
        <f t="shared" si="4"/>
        <v>2025</v>
      </c>
      <c r="B55" s="63">
        <f t="shared" si="11"/>
        <v>0.21557399999999993</v>
      </c>
      <c r="C55" s="207">
        <f t="shared" si="12"/>
        <v>82793.66225955784</v>
      </c>
      <c r="D55" s="62">
        <f t="shared" si="13"/>
        <v>17848.160947941917</v>
      </c>
      <c r="E55" s="202">
        <f t="shared" si="14"/>
        <v>0.05841807446991876</v>
      </c>
      <c r="F55" s="208">
        <v>0.2159299999999999</v>
      </c>
      <c r="G55" s="209">
        <v>17848.160947941917</v>
      </c>
      <c r="H55" s="210">
        <v>0.05856850054317886</v>
      </c>
      <c r="I55" s="25"/>
      <c r="J55" s="25"/>
      <c r="K55" s="5">
        <f t="shared" si="5"/>
        <v>1</v>
      </c>
      <c r="L55" s="3">
        <f>AVERAGE(M46:M55)</f>
        <v>1</v>
      </c>
      <c r="M55" s="2">
        <f t="shared" si="6"/>
        <v>1</v>
      </c>
      <c r="O55" s="23">
        <f t="shared" si="7"/>
        <v>0.19110474151079215</v>
      </c>
      <c r="P55" s="14">
        <f t="shared" si="8"/>
        <v>0.2358121027764181</v>
      </c>
      <c r="Q55" s="32">
        <f t="shared" si="9"/>
        <v>12422.100323546005</v>
      </c>
      <c r="R55" s="33">
        <f t="shared" si="10"/>
        <v>26276.393732178865</v>
      </c>
    </row>
    <row r="56" spans="1:18" ht="15.75" customHeight="1">
      <c r="A56" s="183">
        <f t="shared" si="4"/>
        <v>2026</v>
      </c>
      <c r="B56" s="199">
        <f aca="true" t="shared" si="15" ref="B56:B65">+B55+B$5*K56*L56</f>
        <v>0.21916079999999993</v>
      </c>
      <c r="C56" s="200">
        <f>+C55*(1+E$5)*(1+D$5)</f>
        <v>86391.54364670918</v>
      </c>
      <c r="D56" s="201">
        <f>+B56*C56</f>
        <v>18933.639818847696</v>
      </c>
      <c r="E56" s="202">
        <f t="shared" si="14"/>
        <v>0.06081740713072992</v>
      </c>
      <c r="F56" s="205">
        <v>0.2195559999999999</v>
      </c>
      <c r="G56" s="181">
        <v>18933.639818847696</v>
      </c>
      <c r="H56" s="204">
        <v>0.06097821301347661</v>
      </c>
      <c r="I56" s="25"/>
      <c r="J56" s="25"/>
      <c r="K56" s="5">
        <f t="shared" si="5"/>
        <v>1</v>
      </c>
      <c r="L56" s="3">
        <f aca="true" t="shared" si="16" ref="L56:L64">AVERAGE(M47:M56)</f>
        <v>1</v>
      </c>
      <c r="M56" s="2">
        <f t="shared" si="6"/>
        <v>1</v>
      </c>
      <c r="O56" s="23">
        <f t="shared" si="7"/>
        <v>0.1927301376280629</v>
      </c>
      <c r="P56" s="14">
        <f t="shared" si="8"/>
        <v>0.2411740456118409</v>
      </c>
      <c r="Q56" s="32">
        <f t="shared" si="9"/>
        <v>12863.005060462485</v>
      </c>
      <c r="R56" s="33">
        <f t="shared" si="10"/>
        <v>28602.5366549809</v>
      </c>
    </row>
    <row r="57" spans="1:18" ht="15.75" customHeight="1">
      <c r="A57" s="183">
        <f t="shared" si="4"/>
        <v>2027</v>
      </c>
      <c r="B57" s="199">
        <f t="shared" si="15"/>
        <v>0.22274759999999993</v>
      </c>
      <c r="C57" s="200">
        <f aca="true" t="shared" si="17" ref="C57:C65">+C56*(1+E$5)*(1+D$5)</f>
        <v>90145.77456742057</v>
      </c>
      <c r="D57" s="201">
        <f t="shared" si="13"/>
        <v>20079.754935033965</v>
      </c>
      <c r="E57" s="202">
        <f t="shared" si="14"/>
        <v>0.060533269205076845</v>
      </c>
      <c r="F57" s="205">
        <v>0.22318199999999988</v>
      </c>
      <c r="G57" s="181">
        <v>20079.754935033965</v>
      </c>
      <c r="H57" s="204">
        <v>0.06068883105904632</v>
      </c>
      <c r="I57" s="25"/>
      <c r="J57" s="25"/>
      <c r="K57" s="5">
        <f t="shared" si="5"/>
        <v>1</v>
      </c>
      <c r="L57" s="3">
        <f t="shared" si="16"/>
        <v>1</v>
      </c>
      <c r="M57" s="2">
        <f t="shared" si="6"/>
        <v>1</v>
      </c>
      <c r="O57" s="23">
        <f t="shared" si="7"/>
        <v>0.1943172967040006</v>
      </c>
      <c r="P57" s="14">
        <f t="shared" si="8"/>
        <v>0.24659184252558877</v>
      </c>
      <c r="Q57" s="32">
        <f t="shared" si="9"/>
        <v>13315.991463703453</v>
      </c>
      <c r="R57" s="33">
        <f t="shared" si="10"/>
        <v>31126.26426363258</v>
      </c>
    </row>
    <row r="58" spans="1:18" ht="15.75" customHeight="1">
      <c r="A58" s="183">
        <f t="shared" si="4"/>
        <v>2028</v>
      </c>
      <c r="B58" s="199">
        <f t="shared" si="15"/>
        <v>0.22633439999999994</v>
      </c>
      <c r="C58" s="200">
        <f t="shared" si="17"/>
        <v>94063.14934702238</v>
      </c>
      <c r="D58" s="201">
        <f t="shared" si="13"/>
        <v>21289.726469568697</v>
      </c>
      <c r="E58" s="202">
        <f t="shared" si="14"/>
        <v>0.060258281958593285</v>
      </c>
      <c r="F58" s="211">
        <v>0.22680799999999987</v>
      </c>
      <c r="G58" s="212">
        <v>21289.726469568697</v>
      </c>
      <c r="H58" s="213">
        <v>0.060408852183419404</v>
      </c>
      <c r="I58" s="25"/>
      <c r="J58" s="25"/>
      <c r="K58" s="5">
        <f t="shared" si="5"/>
        <v>1</v>
      </c>
      <c r="L58" s="3">
        <f t="shared" si="16"/>
        <v>1</v>
      </c>
      <c r="M58" s="2">
        <f t="shared" si="6"/>
        <v>1</v>
      </c>
      <c r="O58" s="23">
        <f t="shared" si="7"/>
        <v>0.1958667265059151</v>
      </c>
      <c r="P58" s="14">
        <f t="shared" si="8"/>
        <v>0.2520659707366596</v>
      </c>
      <c r="Q58" s="32">
        <f t="shared" si="9"/>
        <v>13781.356020266041</v>
      </c>
      <c r="R58" s="33">
        <f t="shared" si="10"/>
        <v>33863.88856375552</v>
      </c>
    </row>
    <row r="59" spans="1:18" ht="15.75" customHeight="1">
      <c r="A59" s="183">
        <f t="shared" si="4"/>
        <v>2029</v>
      </c>
      <c r="B59" s="199">
        <f t="shared" si="15"/>
        <v>0.22992119999999994</v>
      </c>
      <c r="C59" s="200">
        <f t="shared" si="17"/>
        <v>98150.75756504659</v>
      </c>
      <c r="D59" s="201">
        <f t="shared" si="13"/>
        <v>22566.939960264583</v>
      </c>
      <c r="E59" s="202">
        <f t="shared" si="14"/>
        <v>0.05999201034928836</v>
      </c>
      <c r="F59" s="211">
        <v>0.23043399999999986</v>
      </c>
      <c r="G59" s="181">
        <v>22566.939960264583</v>
      </c>
      <c r="H59" s="204">
        <v>0.06013782540298407</v>
      </c>
      <c r="I59" s="25"/>
      <c r="J59" s="25"/>
      <c r="K59" s="5">
        <f t="shared" si="5"/>
        <v>1</v>
      </c>
      <c r="L59" s="3">
        <f t="shared" si="16"/>
        <v>1</v>
      </c>
      <c r="M59" s="2">
        <f t="shared" si="6"/>
        <v>1</v>
      </c>
      <c r="O59" s="23">
        <f t="shared" si="7"/>
        <v>0.19737892912400995</v>
      </c>
      <c r="P59" s="14">
        <f t="shared" si="8"/>
        <v>0.2575969111799324</v>
      </c>
      <c r="Q59" s="32">
        <f t="shared" si="9"/>
        <v>14259.402058993783</v>
      </c>
      <c r="R59" s="33">
        <f t="shared" si="10"/>
        <v>36833.04050533796</v>
      </c>
    </row>
    <row r="60" spans="1:18" ht="15.75" customHeight="1">
      <c r="A60" s="183">
        <f t="shared" si="4"/>
        <v>2030</v>
      </c>
      <c r="B60" s="199">
        <f t="shared" si="15"/>
        <v>0.23350799999999994</v>
      </c>
      <c r="C60" s="200">
        <f t="shared" si="17"/>
        <v>102415.99688579324</v>
      </c>
      <c r="D60" s="201">
        <f t="shared" si="13"/>
        <v>23914.954600807803</v>
      </c>
      <c r="E60" s="202">
        <f t="shared" si="14"/>
        <v>0.05973404648201219</v>
      </c>
      <c r="F60" s="211">
        <v>0.23405999999999985</v>
      </c>
      <c r="G60" s="181">
        <v>23914.954600807803</v>
      </c>
      <c r="H60" s="204">
        <v>0.059875328119982196</v>
      </c>
      <c r="I60" s="25"/>
      <c r="J60" s="25"/>
      <c r="K60" s="5">
        <f t="shared" si="5"/>
        <v>1</v>
      </c>
      <c r="L60" s="3">
        <f t="shared" si="16"/>
        <v>1</v>
      </c>
      <c r="M60" s="2">
        <f t="shared" si="6"/>
        <v>1</v>
      </c>
      <c r="O60" s="23">
        <f t="shared" si="7"/>
        <v>0.19885440102971888</v>
      </c>
      <c r="P60" s="14">
        <f t="shared" si="8"/>
        <v>0.26318514853357794</v>
      </c>
      <c r="Q60" s="32">
        <f t="shared" si="9"/>
        <v>14750.4399023781</v>
      </c>
      <c r="R60" s="33">
        <f t="shared" si="10"/>
        <v>40052.77494973762</v>
      </c>
    </row>
    <row r="61" spans="1:18" ht="15.75" customHeight="1">
      <c r="A61" s="214">
        <f t="shared" si="4"/>
        <v>2031</v>
      </c>
      <c r="B61" s="199">
        <f t="shared" si="15"/>
        <v>0.23709479999999994</v>
      </c>
      <c r="C61" s="200">
        <f t="shared" si="17"/>
        <v>106866.58644646226</v>
      </c>
      <c r="D61" s="201">
        <f t="shared" si="13"/>
        <v>25337.511940206674</v>
      </c>
      <c r="E61" s="202">
        <f t="shared" si="14"/>
        <v>0.059484007523510796</v>
      </c>
      <c r="F61" s="211">
        <v>0.23768599999999984</v>
      </c>
      <c r="G61" s="181">
        <v>25337.511940206674</v>
      </c>
      <c r="H61" s="204">
        <v>0.05962096392377991</v>
      </c>
      <c r="I61" s="25"/>
      <c r="J61" s="25"/>
      <c r="K61" s="5">
        <f t="shared" si="5"/>
        <v>1</v>
      </c>
      <c r="L61" s="3">
        <f t="shared" si="16"/>
        <v>1</v>
      </c>
      <c r="M61" s="2">
        <f t="shared" si="6"/>
        <v>1</v>
      </c>
      <c r="O61" s="23">
        <f t="shared" si="7"/>
        <v>0.20029363313347254</v>
      </c>
      <c r="P61" s="14">
        <f t="shared" si="8"/>
        <v>0.2688311712466647</v>
      </c>
      <c r="Q61" s="32">
        <f t="shared" si="9"/>
        <v>15254.787021637212</v>
      </c>
      <c r="R61" s="33">
        <f t="shared" si="10"/>
        <v>43543.68388654806</v>
      </c>
    </row>
    <row r="62" spans="1:18" ht="15.75" customHeight="1">
      <c r="A62" s="183">
        <f t="shared" si="4"/>
        <v>2032</v>
      </c>
      <c r="B62" s="199">
        <f t="shared" si="15"/>
        <v>0.24068159999999994</v>
      </c>
      <c r="C62" s="200">
        <f t="shared" si="17"/>
        <v>111510.58082707971</v>
      </c>
      <c r="D62" s="201">
        <f t="shared" si="13"/>
        <v>26838.545010390862</v>
      </c>
      <c r="E62" s="202">
        <f t="shared" si="14"/>
        <v>0.05924153380673047</v>
      </c>
      <c r="F62" s="205">
        <v>0.24131199999999983</v>
      </c>
      <c r="G62" s="181">
        <v>26838.545010390862</v>
      </c>
      <c r="H62" s="204">
        <v>0.059374360593387854</v>
      </c>
      <c r="I62" s="25"/>
      <c r="J62" s="25"/>
      <c r="K62" s="5">
        <f t="shared" si="5"/>
        <v>1</v>
      </c>
      <c r="L62" s="3">
        <f t="shared" si="16"/>
        <v>1</v>
      </c>
      <c r="M62" s="2">
        <f t="shared" si="6"/>
        <v>1</v>
      </c>
      <c r="O62" s="23">
        <f t="shared" si="7"/>
        <v>0.20169711084190017</v>
      </c>
      <c r="P62" s="14">
        <f t="shared" si="8"/>
        <v>0.27453547156696134</v>
      </c>
      <c r="Q62" s="32">
        <f t="shared" si="9"/>
        <v>15772.768195141687</v>
      </c>
      <c r="R62" s="33">
        <f t="shared" si="10"/>
        <v>47328.01854220064</v>
      </c>
    </row>
    <row r="63" spans="1:18" ht="15.75" customHeight="1">
      <c r="A63" s="183">
        <f t="shared" si="4"/>
        <v>2033</v>
      </c>
      <c r="B63" s="199">
        <f t="shared" si="15"/>
        <v>0.24426839999999994</v>
      </c>
      <c r="C63" s="200">
        <f t="shared" si="17"/>
        <v>116356.38462750128</v>
      </c>
      <c r="D63" s="201">
        <f t="shared" si="13"/>
        <v>28422.187902744325</v>
      </c>
      <c r="E63" s="202">
        <f t="shared" si="14"/>
        <v>0.059006287104622634</v>
      </c>
      <c r="F63" s="205">
        <v>0.24493799999999982</v>
      </c>
      <c r="G63" s="181">
        <v>28422.187902744325</v>
      </c>
      <c r="H63" s="204">
        <v>0.059135168280068706</v>
      </c>
      <c r="I63" s="25"/>
      <c r="J63" s="25"/>
      <c r="K63" s="5">
        <f t="shared" si="5"/>
        <v>1</v>
      </c>
      <c r="L63" s="3">
        <f t="shared" si="16"/>
        <v>1</v>
      </c>
      <c r="M63" s="2">
        <f t="shared" si="6"/>
        <v>1</v>
      </c>
      <c r="O63" s="23">
        <f t="shared" si="7"/>
        <v>0.20306531411447248</v>
      </c>
      <c r="P63" s="14">
        <f t="shared" si="8"/>
        <v>0.28029854556893663</v>
      </c>
      <c r="Q63" s="32">
        <f t="shared" si="9"/>
        <v>16304.71567025762</v>
      </c>
      <c r="R63" s="33">
        <f t="shared" si="10"/>
        <v>51429.821071699975</v>
      </c>
    </row>
    <row r="64" spans="1:18" ht="15.75" customHeight="1">
      <c r="A64" s="183">
        <f t="shared" si="4"/>
        <v>2034</v>
      </c>
      <c r="B64" s="199">
        <f t="shared" si="15"/>
        <v>0.24785519999999994</v>
      </c>
      <c r="C64" s="200">
        <f t="shared" si="17"/>
        <v>121412.76767787396</v>
      </c>
      <c r="D64" s="201">
        <f t="shared" si="13"/>
        <v>30092.785815352978</v>
      </c>
      <c r="E64" s="202">
        <f t="shared" si="14"/>
        <v>0.05877794905603828</v>
      </c>
      <c r="F64" s="205">
        <v>0.2485639999999998</v>
      </c>
      <c r="G64" s="181">
        <v>30092.785815352978</v>
      </c>
      <c r="H64" s="204">
        <v>0.05890305785137451</v>
      </c>
      <c r="I64" s="25"/>
      <c r="J64" s="25"/>
      <c r="K64" s="5">
        <f t="shared" si="5"/>
        <v>1</v>
      </c>
      <c r="L64" s="3">
        <f t="shared" si="16"/>
        <v>1</v>
      </c>
      <c r="M64" s="2">
        <f t="shared" si="6"/>
        <v>1</v>
      </c>
      <c r="O64" s="23">
        <f t="shared" si="7"/>
        <v>0.20439871751958977</v>
      </c>
      <c r="P64" s="14">
        <f t="shared" si="8"/>
        <v>0.28612089318195927</v>
      </c>
      <c r="Q64" s="32">
        <f t="shared" si="9"/>
        <v>16850.969328679494</v>
      </c>
      <c r="R64" s="33">
        <f t="shared" si="10"/>
        <v>55875.066578210426</v>
      </c>
    </row>
    <row r="65" spans="1:18" ht="15.75" customHeight="1">
      <c r="A65" s="183">
        <f t="shared" si="4"/>
        <v>2035</v>
      </c>
      <c r="B65" s="199">
        <f t="shared" si="15"/>
        <v>0.25144199999999994</v>
      </c>
      <c r="C65" s="200">
        <f t="shared" si="17"/>
        <v>126688.88091008364</v>
      </c>
      <c r="D65" s="201">
        <f t="shared" si="13"/>
        <v>31854.905593793243</v>
      </c>
      <c r="E65" s="202">
        <f t="shared" si="14"/>
        <v>0.058556219728292946</v>
      </c>
      <c r="F65" s="205">
        <v>0.2521899999999998</v>
      </c>
      <c r="G65" s="181">
        <v>31854.905593793243</v>
      </c>
      <c r="H65" s="204">
        <v>0.05867771938011934</v>
      </c>
      <c r="I65" s="25"/>
      <c r="J65" s="25"/>
      <c r="K65" s="5">
        <f t="shared" si="5"/>
        <v>1</v>
      </c>
      <c r="L65" s="3">
        <f aca="true" t="shared" si="18" ref="L65:L85">AVERAGE(M56:M65)</f>
        <v>1</v>
      </c>
      <c r="M65" s="2">
        <f t="shared" si="6"/>
        <v>1</v>
      </c>
      <c r="O65" s="23">
        <f t="shared" si="7"/>
        <v>0.20569779029012183</v>
      </c>
      <c r="P65" s="14">
        <f t="shared" si="8"/>
        <v>0.2920030182186977</v>
      </c>
      <c r="Q65" s="32">
        <f t="shared" si="9"/>
        <v>17411.87685532668</v>
      </c>
      <c r="R65" s="33">
        <f t="shared" si="10"/>
        <v>60691.816262614135</v>
      </c>
    </row>
    <row r="66" spans="1:18" ht="15.75" customHeight="1">
      <c r="A66" s="183">
        <f t="shared" si="4"/>
        <v>2036</v>
      </c>
      <c r="B66" s="199">
        <f aca="true" t="shared" si="19" ref="B66:B97">+B65+B$6*K66*L66</f>
        <v>0.2547563920443593</v>
      </c>
      <c r="C66" s="200">
        <f>+C65*(1+E$6)*(1+D$6)</f>
        <v>132065.17694926483</v>
      </c>
      <c r="D66" s="201">
        <f t="shared" si="13"/>
        <v>33644.44799429459</v>
      </c>
      <c r="E66" s="202">
        <f t="shared" si="14"/>
        <v>0.05617792196031601</v>
      </c>
      <c r="F66" s="205">
        <v>0.25547662499538104</v>
      </c>
      <c r="G66" s="181">
        <v>33644.44799429459</v>
      </c>
      <c r="H66" s="204">
        <v>0.05602238998497233</v>
      </c>
      <c r="I66" s="25"/>
      <c r="J66" s="25"/>
      <c r="K66" s="5">
        <f t="shared" si="5"/>
        <v>0.9240526498158114</v>
      </c>
      <c r="L66" s="3">
        <f t="shared" si="18"/>
        <v>1</v>
      </c>
      <c r="M66" s="2">
        <f t="shared" si="6"/>
        <v>1</v>
      </c>
      <c r="O66" s="23">
        <f t="shared" si="7"/>
        <v>0.20674192971167193</v>
      </c>
      <c r="P66" s="14">
        <f t="shared" si="8"/>
        <v>0.2976271792293391</v>
      </c>
      <c r="Q66" s="32">
        <f t="shared" si="9"/>
        <v>17951.032881649196</v>
      </c>
      <c r="R66" s="33">
        <f t="shared" si="10"/>
        <v>65775.6838088971</v>
      </c>
    </row>
    <row r="67" spans="1:18" ht="15.75" customHeight="1">
      <c r="A67" s="183">
        <f t="shared" si="4"/>
        <v>2037</v>
      </c>
      <c r="B67" s="199">
        <f t="shared" si="19"/>
        <v>0.2578484532359007</v>
      </c>
      <c r="C67" s="200">
        <f aca="true" t="shared" si="20" ref="C67:C130">+C66*(1+E$6)*(1+D$6)</f>
        <v>137669.62686346075</v>
      </c>
      <c r="D67" s="201">
        <f t="shared" si="13"/>
        <v>35497.90034430696</v>
      </c>
      <c r="E67" s="202">
        <f t="shared" si="14"/>
        <v>0.05508939692892789</v>
      </c>
      <c r="F67" s="205">
        <v>0.25856594637148117</v>
      </c>
      <c r="G67" s="181">
        <v>35497.90034430696</v>
      </c>
      <c r="H67" s="204">
        <v>0.05504254818819887</v>
      </c>
      <c r="I67" s="25"/>
      <c r="J67" s="25"/>
      <c r="K67" s="5">
        <f t="shared" si="5"/>
        <v>0.8620667981324396</v>
      </c>
      <c r="L67" s="3">
        <f t="shared" si="18"/>
        <v>1</v>
      </c>
      <c r="M67" s="2">
        <f t="shared" si="6"/>
        <v>1</v>
      </c>
      <c r="O67" s="23">
        <f t="shared" si="7"/>
        <v>0.207577213966787</v>
      </c>
      <c r="P67" s="14">
        <f t="shared" si="8"/>
        <v>0.3030470145716219</v>
      </c>
      <c r="Q67" s="32">
        <f t="shared" si="9"/>
        <v>18487.810103264736</v>
      </c>
      <c r="R67" s="33">
        <f t="shared" si="10"/>
        <v>71211.93436033002</v>
      </c>
    </row>
    <row r="68" spans="1:18" ht="15.75" customHeight="1">
      <c r="A68" s="183">
        <f t="shared" si="4"/>
        <v>2038</v>
      </c>
      <c r="B68" s="199">
        <f t="shared" si="19"/>
        <v>0.2607997332772646</v>
      </c>
      <c r="C68" s="200">
        <f t="shared" si="20"/>
        <v>143511.9128186654</v>
      </c>
      <c r="D68" s="201">
        <f t="shared" si="13"/>
        <v>37427.868585217984</v>
      </c>
      <c r="E68" s="202">
        <f t="shared" si="14"/>
        <v>0.05436851819943045</v>
      </c>
      <c r="F68" s="205">
        <v>0.2615207563813446</v>
      </c>
      <c r="G68" s="181">
        <v>37427.868585217984</v>
      </c>
      <c r="H68" s="204">
        <v>0.05434964095476302</v>
      </c>
      <c r="I68" s="25"/>
      <c r="J68" s="25"/>
      <c r="K68" s="5">
        <f t="shared" si="5"/>
        <v>0.822817007182961</v>
      </c>
      <c r="L68" s="3">
        <f t="shared" si="18"/>
        <v>1</v>
      </c>
      <c r="M68" s="2">
        <f t="shared" si="6"/>
        <v>1</v>
      </c>
      <c r="O68" s="23">
        <f t="shared" si="7"/>
        <v>0.2082734750072286</v>
      </c>
      <c r="P68" s="14">
        <f t="shared" si="8"/>
        <v>0.30835472176144385</v>
      </c>
      <c r="Q68" s="32">
        <f t="shared" si="9"/>
        <v>19027.62888420448</v>
      </c>
      <c r="R68" s="33">
        <f t="shared" si="10"/>
        <v>77044.8059086715</v>
      </c>
    </row>
    <row r="69" spans="1:18" ht="15.75" customHeight="1">
      <c r="A69" s="183">
        <f t="shared" si="4"/>
        <v>2039</v>
      </c>
      <c r="B69" s="199">
        <f t="shared" si="19"/>
        <v>0.2636410401025991</v>
      </c>
      <c r="C69" s="200">
        <f t="shared" si="20"/>
        <v>149602.12786295108</v>
      </c>
      <c r="D69" s="201">
        <f t="shared" si="13"/>
        <v>39441.260591350445</v>
      </c>
      <c r="E69" s="202">
        <f t="shared" si="14"/>
        <v>0.053793926350581556</v>
      </c>
      <c r="F69" s="205">
        <v>0.26436836451004037</v>
      </c>
      <c r="G69" s="181">
        <v>39441.260591350445</v>
      </c>
      <c r="H69" s="204">
        <v>0.05378773221692801</v>
      </c>
      <c r="I69" s="25"/>
      <c r="J69" s="25"/>
      <c r="K69" s="5">
        <f t="shared" si="5"/>
        <v>0.7921564696482993</v>
      </c>
      <c r="L69" s="3">
        <f t="shared" si="18"/>
        <v>1</v>
      </c>
      <c r="M69" s="2">
        <f t="shared" si="6"/>
        <v>1</v>
      </c>
      <c r="O69" s="23">
        <f t="shared" si="7"/>
        <v>0.2088581894145035</v>
      </c>
      <c r="P69" s="14">
        <f t="shared" si="8"/>
        <v>0.31358440553381683</v>
      </c>
      <c r="Q69" s="32">
        <f t="shared" si="9"/>
        <v>19572.537510571045</v>
      </c>
      <c r="R69" s="33">
        <f t="shared" si="10"/>
        <v>83310.01430684904</v>
      </c>
    </row>
    <row r="70" spans="1:18" ht="15.75" customHeight="1">
      <c r="A70" s="183">
        <f t="shared" si="4"/>
        <v>2040</v>
      </c>
      <c r="B70" s="199">
        <f t="shared" si="19"/>
        <v>0.2663900004709436</v>
      </c>
      <c r="C70" s="200">
        <f t="shared" si="20"/>
        <v>155950.7933630711</v>
      </c>
      <c r="D70" s="201">
        <f t="shared" si="13"/>
        <v>41543.73191743254</v>
      </c>
      <c r="E70" s="202">
        <f t="shared" si="14"/>
        <v>0.05330639271056081</v>
      </c>
      <c r="F70" s="205">
        <v>0.2671250809546896</v>
      </c>
      <c r="G70" s="181">
        <v>41543.73191743254</v>
      </c>
      <c r="H70" s="204">
        <v>0.0533070722408171</v>
      </c>
      <c r="I70" s="25"/>
      <c r="J70" s="25"/>
      <c r="K70" s="5">
        <f t="shared" si="5"/>
        <v>0.7664102733200873</v>
      </c>
      <c r="L70" s="3">
        <f t="shared" si="18"/>
        <v>1</v>
      </c>
      <c r="M70" s="2">
        <f t="shared" si="6"/>
        <v>1</v>
      </c>
      <c r="O70" s="23">
        <f t="shared" si="7"/>
        <v>0.2093476466698781</v>
      </c>
      <c r="P70" s="14">
        <f t="shared" si="8"/>
        <v>0.3187552454077599</v>
      </c>
      <c r="Q70" s="32">
        <f t="shared" si="9"/>
        <v>20123.73662079371</v>
      </c>
      <c r="R70" s="33">
        <f t="shared" si="10"/>
        <v>90043.02599949147</v>
      </c>
    </row>
    <row r="71" spans="1:18" ht="15.75" customHeight="1">
      <c r="A71" s="183">
        <f t="shared" si="4"/>
        <v>2041</v>
      </c>
      <c r="B71" s="199">
        <f t="shared" si="19"/>
        <v>0.2690584115418893</v>
      </c>
      <c r="C71" s="200">
        <f t="shared" si="20"/>
        <v>162568.87718101972</v>
      </c>
      <c r="D71" s="201">
        <f t="shared" si="13"/>
        <v>43740.52386047366</v>
      </c>
      <c r="E71" s="202">
        <f t="shared" si="14"/>
        <v>0.05287902269847122</v>
      </c>
      <c r="F71" s="205">
        <v>0.26980206369271337</v>
      </c>
      <c r="G71" s="181">
        <v>43740.52386047366</v>
      </c>
      <c r="H71" s="204">
        <v>0.05288373845115468</v>
      </c>
      <c r="I71" s="25"/>
      <c r="J71" s="25"/>
      <c r="K71" s="5">
        <f t="shared" si="5"/>
        <v>0.7439531256121756</v>
      </c>
      <c r="L71" s="3">
        <f t="shared" si="18"/>
        <v>1</v>
      </c>
      <c r="M71" s="2">
        <f t="shared" si="6"/>
        <v>1</v>
      </c>
      <c r="O71" s="23">
        <f t="shared" si="7"/>
        <v>0.20975311089779636</v>
      </c>
      <c r="P71" s="14">
        <f t="shared" si="8"/>
        <v>0.32387988485877156</v>
      </c>
      <c r="Q71" s="32">
        <f t="shared" si="9"/>
        <v>20682.06354892922</v>
      </c>
      <c r="R71" s="33">
        <f t="shared" si="10"/>
        <v>97280.70448833749</v>
      </c>
    </row>
    <row r="72" spans="1:18" ht="15.75" customHeight="1">
      <c r="A72" s="183">
        <f t="shared" si="4"/>
        <v>2042</v>
      </c>
      <c r="B72" s="199">
        <f t="shared" si="19"/>
        <v>0.271654880237956</v>
      </c>
      <c r="C72" s="200">
        <f t="shared" si="20"/>
        <v>169467.8126219506</v>
      </c>
      <c r="D72" s="201">
        <f t="shared" si="13"/>
        <v>46036.75834200436</v>
      </c>
      <c r="E72" s="202">
        <f t="shared" si="14"/>
        <v>0.05249673023705381</v>
      </c>
      <c r="F72" s="205">
        <v>0.27240756366238333</v>
      </c>
      <c r="G72" s="181">
        <v>46036.75834200436</v>
      </c>
      <c r="H72" s="204">
        <v>0.05250389694922508</v>
      </c>
      <c r="I72" s="25"/>
      <c r="J72" s="25"/>
      <c r="K72" s="5">
        <f t="shared" si="5"/>
        <v>0.7238955882866823</v>
      </c>
      <c r="L72" s="3">
        <f t="shared" si="18"/>
        <v>1</v>
      </c>
      <c r="M72" s="2">
        <f t="shared" si="6"/>
        <v>1</v>
      </c>
      <c r="O72" s="23">
        <f t="shared" si="7"/>
        <v>0.21008305314370554</v>
      </c>
      <c r="P72" s="14">
        <f t="shared" si="8"/>
        <v>0.3289674243356971</v>
      </c>
      <c r="Q72" s="32">
        <f t="shared" si="9"/>
        <v>21248.163236512948</v>
      </c>
      <c r="R72" s="33">
        <f t="shared" si="10"/>
        <v>105061.98811205645</v>
      </c>
    </row>
    <row r="73" spans="1:18" ht="15.75" customHeight="1">
      <c r="A73" s="183">
        <f t="shared" si="4"/>
        <v>2043</v>
      </c>
      <c r="B73" s="199">
        <f t="shared" si="19"/>
        <v>0.2741860421537388</v>
      </c>
      <c r="C73" s="200">
        <f t="shared" si="20"/>
        <v>176659.51818618827</v>
      </c>
      <c r="D73" s="201">
        <f t="shared" si="13"/>
        <v>48437.57410025741</v>
      </c>
      <c r="E73" s="202">
        <f t="shared" si="14"/>
        <v>0.052149974166676216</v>
      </c>
      <c r="F73" s="205">
        <v>0.2749480004564941</v>
      </c>
      <c r="G73" s="181">
        <v>48437.57410025741</v>
      </c>
      <c r="H73" s="204">
        <v>0.052158629145454105</v>
      </c>
      <c r="I73" s="25"/>
      <c r="J73" s="25"/>
      <c r="K73" s="5">
        <f t="shared" si="5"/>
        <v>0.7056880550303405</v>
      </c>
      <c r="L73" s="3">
        <f t="shared" si="18"/>
        <v>1</v>
      </c>
      <c r="M73" s="2">
        <f t="shared" si="6"/>
        <v>1</v>
      </c>
      <c r="O73" s="23">
        <f t="shared" si="7"/>
        <v>0.2103441914537783</v>
      </c>
      <c r="P73" s="14">
        <f t="shared" si="8"/>
        <v>0.33402479518530215</v>
      </c>
      <c r="Q73" s="32">
        <f t="shared" si="9"/>
        <v>21822.565895340394</v>
      </c>
      <c r="R73" s="33">
        <f t="shared" si="10"/>
        <v>113428.29816419724</v>
      </c>
    </row>
    <row r="74" spans="1:18" ht="15.75" customHeight="1">
      <c r="A74" s="183">
        <f t="shared" si="4"/>
        <v>2044</v>
      </c>
      <c r="B74" s="199">
        <f t="shared" si="19"/>
        <v>0.27665721375854235</v>
      </c>
      <c r="C74" s="200">
        <f t="shared" si="20"/>
        <v>184156.4181594555</v>
      </c>
      <c r="D74" s="201">
        <f t="shared" si="13"/>
        <v>50948.20154374799</v>
      </c>
      <c r="E74" s="202">
        <f t="shared" si="14"/>
        <v>0.051832229217219306</v>
      </c>
      <c r="F74" s="205">
        <v>0.27742855169474184</v>
      </c>
      <c r="G74" s="181">
        <v>50948.20154374799</v>
      </c>
      <c r="H74" s="204">
        <v>0.05184175430573035</v>
      </c>
      <c r="I74" s="25"/>
      <c r="J74" s="25"/>
      <c r="K74" s="5">
        <f t="shared" si="5"/>
        <v>0.6889627536532719</v>
      </c>
      <c r="L74" s="3">
        <f t="shared" si="18"/>
        <v>1</v>
      </c>
      <c r="M74" s="2">
        <f t="shared" si="6"/>
        <v>1</v>
      </c>
      <c r="O74" s="23">
        <f t="shared" si="7"/>
        <v>0.21054205232673387</v>
      </c>
      <c r="P74" s="14">
        <f t="shared" si="8"/>
        <v>0.3390574904796961</v>
      </c>
      <c r="Q74" s="32">
        <f t="shared" si="9"/>
        <v>22405.727928546108</v>
      </c>
      <c r="R74" s="33">
        <f t="shared" si="10"/>
        <v>122423.85265170212</v>
      </c>
    </row>
    <row r="75" spans="1:18" ht="15.75" customHeight="1">
      <c r="A75" s="183">
        <f t="shared" si="4"/>
        <v>2045</v>
      </c>
      <c r="B75" s="199">
        <f t="shared" si="19"/>
        <v>0.27907277743146225</v>
      </c>
      <c r="C75" s="200">
        <f t="shared" si="20"/>
        <v>191971.46407688825</v>
      </c>
      <c r="D75" s="201">
        <f t="shared" si="13"/>
        <v>53574.009667521386</v>
      </c>
      <c r="E75" s="202">
        <f t="shared" si="14"/>
        <v>0.051538779470334584</v>
      </c>
      <c r="F75" s="205">
        <v>0.2798535068220713</v>
      </c>
      <c r="G75" s="181">
        <v>53574.009667521386</v>
      </c>
      <c r="H75" s="204">
        <v>0.05154876204693326</v>
      </c>
      <c r="I75" s="25"/>
      <c r="J75" s="25"/>
      <c r="K75" s="5">
        <f t="shared" si="5"/>
        <v>0.6734592597635489</v>
      </c>
      <c r="L75" s="3">
        <f t="shared" si="18"/>
        <v>1</v>
      </c>
      <c r="M75" s="2">
        <f t="shared" si="6"/>
        <v>1</v>
      </c>
      <c r="O75" s="23">
        <f t="shared" si="7"/>
        <v>0.21068130512346211</v>
      </c>
      <c r="P75" s="14">
        <f t="shared" si="8"/>
        <v>0.34406999397330496</v>
      </c>
      <c r="Q75" s="32">
        <f t="shared" si="9"/>
        <v>22998.05573889899</v>
      </c>
      <c r="R75" s="33">
        <f t="shared" si="10"/>
        <v>132095.9457503395</v>
      </c>
    </row>
    <row r="76" spans="1:18" ht="15.75" customHeight="1">
      <c r="A76" s="183">
        <f t="shared" si="4"/>
        <v>2046</v>
      </c>
      <c r="B76" s="199">
        <f t="shared" si="19"/>
        <v>0.2814364254631682</v>
      </c>
      <c r="C76" s="200">
        <f t="shared" si="20"/>
        <v>200118.15709791912</v>
      </c>
      <c r="D76" s="201">
        <f t="shared" si="13"/>
        <v>56320.5388039151</v>
      </c>
      <c r="E76" s="202">
        <f t="shared" si="14"/>
        <v>0.05126607385630799</v>
      </c>
      <c r="F76" s="205">
        <v>0.2822264941232342</v>
      </c>
      <c r="G76" s="181">
        <v>56320.5388039151</v>
      </c>
      <c r="H76" s="204">
        <v>0.05127623089387989</v>
      </c>
      <c r="I76" s="25"/>
      <c r="J76" s="25"/>
      <c r="K76" s="5">
        <f t="shared" si="5"/>
        <v>0.6589851766772462</v>
      </c>
      <c r="L76" s="3">
        <f t="shared" si="18"/>
        <v>1</v>
      </c>
      <c r="M76" s="2">
        <f t="shared" si="6"/>
        <v>1</v>
      </c>
      <c r="O76" s="23">
        <f t="shared" si="7"/>
        <v>0.21076597588562995</v>
      </c>
      <c r="P76" s="14">
        <f t="shared" si="8"/>
        <v>0.34906605038602473</v>
      </c>
      <c r="Q76" s="32">
        <f t="shared" si="9"/>
        <v>23599.92061034747</v>
      </c>
      <c r="R76" s="33">
        <f t="shared" si="10"/>
        <v>142495.2180624403</v>
      </c>
    </row>
    <row r="77" spans="1:18" ht="15.75" customHeight="1">
      <c r="A77" s="183">
        <f t="shared" si="4"/>
        <v>2047</v>
      </c>
      <c r="B77" s="199">
        <f t="shared" si="19"/>
        <v>0.28375132321282126</v>
      </c>
      <c r="C77" s="200">
        <f t="shared" si="20"/>
        <v>208610.57133068348</v>
      </c>
      <c r="D77" s="201">
        <f t="shared" si="13"/>
        <v>59193.52565126407</v>
      </c>
      <c r="E77" s="202">
        <f t="shared" si="14"/>
        <v>0.051011352312369196</v>
      </c>
      <c r="F77" s="205">
        <v>0.2845506339945767</v>
      </c>
      <c r="G77" s="181">
        <v>59193.52565126407</v>
      </c>
      <c r="H77" s="204">
        <v>0.05102148602633583</v>
      </c>
      <c r="I77" s="25"/>
      <c r="J77" s="25"/>
      <c r="K77" s="5">
        <f aca="true" t="shared" si="21" ref="K77:K108">IF(B76&lt;$B$7,1,1-((B76-$B$7)/$B$7)^$C$7)</f>
        <v>0.6453935958662438</v>
      </c>
      <c r="L77" s="3">
        <f t="shared" si="18"/>
        <v>1</v>
      </c>
      <c r="M77" s="2">
        <f aca="true" t="shared" si="22" ref="M77:M108">IF(A77&lt;$F$7,1,0)</f>
        <v>1</v>
      </c>
      <c r="O77" s="23">
        <f t="shared" si="7"/>
        <v>0.21079959160150322</v>
      </c>
      <c r="P77" s="14">
        <f t="shared" si="8"/>
        <v>0.35404884511249013</v>
      </c>
      <c r="Q77" s="32">
        <f t="shared" si="9"/>
        <v>24211.668532155167</v>
      </c>
      <c r="R77" s="33">
        <f t="shared" si="10"/>
        <v>153675.92991255157</v>
      </c>
    </row>
    <row r="78" spans="1:18" ht="15.75" customHeight="1">
      <c r="A78" s="183">
        <f t="shared" si="4"/>
        <v>2048</v>
      </c>
      <c r="B78" s="199">
        <f t="shared" si="19"/>
        <v>0.2860202229071675</v>
      </c>
      <c r="C78" s="200">
        <f t="shared" si="20"/>
        <v>217463.37814624366</v>
      </c>
      <c r="D78" s="201">
        <f t="shared" si="13"/>
        <v>62198.92389153427</v>
      </c>
      <c r="E78" s="202">
        <f t="shared" si="14"/>
        <v>0.05077241484104822</v>
      </c>
      <c r="F78" s="205">
        <v>0.28682864667789737</v>
      </c>
      <c r="G78" s="181">
        <v>62198.92389153427</v>
      </c>
      <c r="H78" s="204">
        <v>0.05078238540373792</v>
      </c>
      <c r="I78" s="25"/>
      <c r="J78" s="25"/>
      <c r="K78" s="5">
        <f t="shared" si="21"/>
        <v>0.6325693359948232</v>
      </c>
      <c r="L78" s="3">
        <f t="shared" si="18"/>
        <v>1</v>
      </c>
      <c r="M78" s="2">
        <f t="shared" si="22"/>
        <v>1</v>
      </c>
      <c r="O78" s="23">
        <f t="shared" si="7"/>
        <v>0.21078528174585257</v>
      </c>
      <c r="P78" s="14">
        <f t="shared" si="8"/>
        <v>0.3590211288646112</v>
      </c>
      <c r="Q78" s="32">
        <f t="shared" si="9"/>
        <v>24833.626971039557</v>
      </c>
      <c r="R78" s="33">
        <f t="shared" si="10"/>
        <v>165696.24451591872</v>
      </c>
    </row>
    <row r="79" spans="1:18" ht="15.75" customHeight="1">
      <c r="A79" s="183">
        <f t="shared" si="4"/>
        <v>2049</v>
      </c>
      <c r="B79" s="199">
        <f t="shared" si="19"/>
        <v>0.2882455457636863</v>
      </c>
      <c r="C79" s="200">
        <f t="shared" si="20"/>
        <v>226691.87152463576</v>
      </c>
      <c r="D79" s="201">
        <f t="shared" si="13"/>
        <v>65342.922227810086</v>
      </c>
      <c r="E79" s="202">
        <f t="shared" si="14"/>
        <v>0.050547471556879</v>
      </c>
      <c r="F79" s="205">
        <v>0.28906293050026804</v>
      </c>
      <c r="G79" s="181">
        <v>65342.922227810086</v>
      </c>
      <c r="H79" s="204">
        <v>0.05055717959822559</v>
      </c>
      <c r="I79" s="25"/>
      <c r="J79" s="25"/>
      <c r="K79" s="5">
        <f t="shared" si="21"/>
        <v>0.6204201116646589</v>
      </c>
      <c r="L79" s="3">
        <f t="shared" si="18"/>
        <v>1</v>
      </c>
      <c r="M79" s="2">
        <f t="shared" si="22"/>
        <v>1</v>
      </c>
      <c r="O79" s="23">
        <f t="shared" si="7"/>
        <v>0.21072585223018156</v>
      </c>
      <c r="P79" s="14">
        <f t="shared" si="8"/>
        <v>0.36398530712090904</v>
      </c>
      <c r="Q79" s="32">
        <f t="shared" si="9"/>
        <v>25466.109707151107</v>
      </c>
      <c r="R79" s="33">
        <f t="shared" si="10"/>
        <v>178618.52537394487</v>
      </c>
    </row>
    <row r="80" spans="1:18" ht="15.75" customHeight="1">
      <c r="A80" s="206">
        <f t="shared" si="4"/>
        <v>2050</v>
      </c>
      <c r="B80" s="199">
        <f t="shared" si="19"/>
        <v>0.29042944294405565</v>
      </c>
      <c r="C80" s="200">
        <f t="shared" si="20"/>
        <v>236311.99447652668</v>
      </c>
      <c r="D80" s="201">
        <f t="shared" si="13"/>
        <v>68631.9609168164</v>
      </c>
      <c r="E80" s="202">
        <f t="shared" si="14"/>
        <v>0.050335041300104244</v>
      </c>
      <c r="F80" s="215">
        <v>0.2912556202527443</v>
      </c>
      <c r="G80" s="209">
        <v>68631.9609168164</v>
      </c>
      <c r="H80" s="210">
        <v>0.05034441629701947</v>
      </c>
      <c r="I80" s="25"/>
      <c r="J80" s="25"/>
      <c r="K80" s="5">
        <f t="shared" si="21"/>
        <v>0.6088706313062837</v>
      </c>
      <c r="L80" s="3">
        <f t="shared" si="18"/>
        <v>1</v>
      </c>
      <c r="M80" s="2">
        <f t="shared" si="22"/>
        <v>1</v>
      </c>
      <c r="O80" s="23">
        <f t="shared" si="7"/>
        <v>0.210623840799536</v>
      </c>
      <c r="P80" s="14">
        <f t="shared" si="8"/>
        <v>0.36894350615240634</v>
      </c>
      <c r="Q80" s="32">
        <f t="shared" si="9"/>
        <v>26109.420390895262</v>
      </c>
      <c r="R80" s="33">
        <f t="shared" si="10"/>
        <v>192509.65104301894</v>
      </c>
    </row>
    <row r="81" spans="1:18" ht="15.75" customHeight="1">
      <c r="A81" s="216">
        <f t="shared" si="4"/>
        <v>2051</v>
      </c>
      <c r="B81" s="199">
        <f t="shared" si="19"/>
        <v>0.2925738418753876</v>
      </c>
      <c r="C81" s="200">
        <f t="shared" si="20"/>
        <v>246340.366586127</v>
      </c>
      <c r="D81" s="201">
        <f t="shared" si="13"/>
        <v>72072.74746109454</v>
      </c>
      <c r="E81" s="202">
        <f t="shared" si="14"/>
        <v>0.05013388075052161</v>
      </c>
      <c r="F81" s="205">
        <v>0.2934086317539621</v>
      </c>
      <c r="G81" s="181">
        <v>72072.74746109454</v>
      </c>
      <c r="H81" s="204">
        <v>0.05014287310331467</v>
      </c>
      <c r="I81" s="25"/>
      <c r="J81" s="25"/>
      <c r="K81" s="5">
        <f t="shared" si="21"/>
        <v>0.5978585177127053</v>
      </c>
      <c r="L81" s="3">
        <f t="shared" si="18"/>
        <v>1</v>
      </c>
      <c r="M81" s="2">
        <f t="shared" si="22"/>
        <v>1</v>
      </c>
      <c r="O81" s="23">
        <f t="shared" si="7"/>
        <v>0.21048155952528322</v>
      </c>
      <c r="P81" s="14">
        <f t="shared" si="8"/>
        <v>0.3738976229248307</v>
      </c>
      <c r="Q81" s="32">
        <f t="shared" si="9"/>
        <v>26763.85522574672</v>
      </c>
      <c r="R81" s="33">
        <f t="shared" si="10"/>
        <v>207441.3498207911</v>
      </c>
    </row>
    <row r="82" spans="1:18" ht="15.75" customHeight="1">
      <c r="A82" s="183">
        <f t="shared" si="4"/>
        <v>2052</v>
      </c>
      <c r="B82" s="199">
        <f t="shared" si="19"/>
        <v>0.29468048216665427</v>
      </c>
      <c r="C82" s="200">
        <f t="shared" si="20"/>
        <v>256794.3127229424</v>
      </c>
      <c r="D82" s="201">
        <f t="shared" si="13"/>
        <v>75672.27189085128</v>
      </c>
      <c r="E82" s="202">
        <f t="shared" si="14"/>
        <v>0.04994293344651246</v>
      </c>
      <c r="F82" s="205">
        <v>0.29552369653677935</v>
      </c>
      <c r="G82" s="181">
        <v>75672.27189085128</v>
      </c>
      <c r="H82" s="204">
        <v>0.049951508942104095</v>
      </c>
      <c r="I82" s="25"/>
      <c r="J82" s="25"/>
      <c r="K82" s="5">
        <f t="shared" si="21"/>
        <v>0.5873314071781688</v>
      </c>
      <c r="L82" s="3">
        <f t="shared" si="18"/>
        <v>1</v>
      </c>
      <c r="M82" s="2">
        <f t="shared" si="22"/>
        <v>1</v>
      </c>
      <c r="O82" s="23">
        <f t="shared" si="7"/>
        <v>0.21030112806435078</v>
      </c>
      <c r="P82" s="14">
        <f t="shared" si="8"/>
        <v>0.3788493635821723</v>
      </c>
      <c r="Q82" s="32">
        <f t="shared" si="9"/>
        <v>27429.705036718136</v>
      </c>
      <c r="R82" s="33">
        <f t="shared" si="10"/>
        <v>223490.55660153998</v>
      </c>
    </row>
    <row r="83" spans="1:18" ht="15.75" customHeight="1">
      <c r="A83" s="183">
        <f t="shared" si="4"/>
        <v>2053</v>
      </c>
      <c r="B83" s="199">
        <f t="shared" si="19"/>
        <v>0.2967509439445126</v>
      </c>
      <c r="C83" s="200">
        <f t="shared" si="20"/>
        <v>267691.8929719659</v>
      </c>
      <c r="D83" s="201">
        <f t="shared" si="13"/>
        <v>79437.82192572432</v>
      </c>
      <c r="E83" s="202">
        <f t="shared" si="14"/>
        <v>0.04976129222477188</v>
      </c>
      <c r="F83" s="205">
        <v>0.2976023893053257</v>
      </c>
      <c r="G83" s="181">
        <v>79437.82192572432</v>
      </c>
      <c r="H83" s="204">
        <v>0.04976942808938478</v>
      </c>
      <c r="I83" s="25"/>
      <c r="J83" s="25"/>
      <c r="K83" s="5">
        <f t="shared" si="21"/>
        <v>0.5772448360260787</v>
      </c>
      <c r="L83" s="3">
        <f t="shared" si="18"/>
        <v>1</v>
      </c>
      <c r="M83" s="2">
        <f t="shared" si="22"/>
        <v>1</v>
      </c>
      <c r="O83" s="23">
        <f t="shared" si="7"/>
        <v>0.21008450014872349</v>
      </c>
      <c r="P83" s="14">
        <f t="shared" si="8"/>
        <v>0.38380027364472774</v>
      </c>
      <c r="Q83" s="32">
        <f t="shared" si="9"/>
        <v>28107.25689643042</v>
      </c>
      <c r="R83" s="33">
        <f t="shared" si="10"/>
        <v>240739.79402927565</v>
      </c>
    </row>
    <row r="84" spans="1:18" ht="15.75" customHeight="1">
      <c r="A84" s="183">
        <f t="shared" si="4"/>
        <v>2054</v>
      </c>
      <c r="B84" s="199">
        <f t="shared" si="19"/>
        <v>0.2987866705488374</v>
      </c>
      <c r="C84" s="200">
        <f t="shared" si="20"/>
        <v>279051.93383401714</v>
      </c>
      <c r="D84" s="201">
        <f t="shared" si="13"/>
        <v>83376.99822048045</v>
      </c>
      <c r="E84" s="202">
        <f t="shared" si="14"/>
        <v>0.04958817096520263</v>
      </c>
      <c r="F84" s="205">
        <v>0.299646149991075</v>
      </c>
      <c r="G84" s="181">
        <v>83376.99822048045</v>
      </c>
      <c r="H84" s="204">
        <v>0.04959585300162894</v>
      </c>
      <c r="I84" s="25"/>
      <c r="J84" s="25"/>
      <c r="K84" s="5">
        <f t="shared" si="21"/>
        <v>0.5675606680954535</v>
      </c>
      <c r="L84" s="3">
        <f t="shared" si="18"/>
        <v>1</v>
      </c>
      <c r="M84" s="2">
        <f t="shared" si="22"/>
        <v>1</v>
      </c>
      <c r="O84" s="23">
        <f t="shared" si="7"/>
        <v>0.2098334850059655</v>
      </c>
      <c r="P84" s="14">
        <f t="shared" si="8"/>
        <v>0.3887517620672505</v>
      </c>
      <c r="Q84" s="32">
        <f t="shared" si="9"/>
        <v>28796.79542588858</v>
      </c>
      <c r="R84" s="33">
        <f t="shared" si="10"/>
        <v>259277.5800529752</v>
      </c>
    </row>
    <row r="85" spans="1:18" ht="15.75" customHeight="1">
      <c r="A85" s="183">
        <f t="shared" si="4"/>
        <v>2055</v>
      </c>
      <c r="B85" s="199">
        <f t="shared" si="19"/>
        <v>0.3007889869538028</v>
      </c>
      <c r="C85" s="200">
        <f t="shared" si="20"/>
        <v>290894.06075013126</v>
      </c>
      <c r="D85" s="201">
        <f t="shared" si="13"/>
        <v>87497.72984390995</v>
      </c>
      <c r="E85" s="202">
        <f t="shared" si="14"/>
        <v>0.049422882945878266</v>
      </c>
      <c r="F85" s="205">
        <v>0.301656301701216</v>
      </c>
      <c r="G85" s="181">
        <v>87497.72984390995</v>
      </c>
      <c r="H85" s="204">
        <v>0.049430103426580274</v>
      </c>
      <c r="I85" s="25"/>
      <c r="J85" s="25"/>
      <c r="K85" s="5">
        <f t="shared" si="21"/>
        <v>0.5582459030236963</v>
      </c>
      <c r="L85" s="3">
        <f t="shared" si="18"/>
        <v>1</v>
      </c>
      <c r="M85" s="2">
        <f t="shared" si="22"/>
        <v>1</v>
      </c>
      <c r="O85" s="23">
        <f t="shared" si="7"/>
        <v>0.20954976491370964</v>
      </c>
      <c r="P85" s="14">
        <f t="shared" si="8"/>
        <v>0.3937051206627332</v>
      </c>
      <c r="Q85" s="32">
        <f t="shared" si="9"/>
        <v>29498.603851685803</v>
      </c>
      <c r="R85" s="33">
        <f t="shared" si="10"/>
        <v>279198.86402559205</v>
      </c>
    </row>
    <row r="86" spans="1:18" ht="15.75" customHeight="1">
      <c r="A86" s="183">
        <f t="shared" si="4"/>
        <v>2056</v>
      </c>
      <c r="B86" s="199">
        <f t="shared" si="19"/>
        <v>0.30275911489667523</v>
      </c>
      <c r="C86" s="200">
        <f t="shared" si="20"/>
        <v>303238.7320061845</v>
      </c>
      <c r="D86" s="201">
        <f t="shared" si="13"/>
        <v>91808.29010458253</v>
      </c>
      <c r="E86" s="202">
        <f t="shared" si="14"/>
        <v>0.04926482399443177</v>
      </c>
      <c r="F86" s="205">
        <v>0.30363406549316063</v>
      </c>
      <c r="G86" s="181">
        <v>91808.29010458253</v>
      </c>
      <c r="H86" s="204">
        <v>0.04927158009117094</v>
      </c>
      <c r="I86" s="25"/>
      <c r="J86" s="25"/>
      <c r="K86" s="5">
        <f t="shared" si="21"/>
        <v>0.5492717583563116</v>
      </c>
      <c r="L86" s="3">
        <f aca="true" t="shared" si="23" ref="L86:L105">AVERAGE(M77:M86)</f>
        <v>1</v>
      </c>
      <c r="M86" s="2">
        <f t="shared" si="22"/>
        <v>1</v>
      </c>
      <c r="O86" s="23">
        <f t="shared" si="7"/>
        <v>0.20923490975728612</v>
      </c>
      <c r="P86" s="14">
        <f t="shared" si="8"/>
        <v>0.39866153997096876</v>
      </c>
      <c r="Q86" s="32">
        <f t="shared" si="9"/>
        <v>30212.964877900522</v>
      </c>
      <c r="R86" s="33">
        <f t="shared" si="10"/>
        <v>300605.49356684147</v>
      </c>
    </row>
    <row r="87" spans="1:18" ht="15.75" customHeight="1">
      <c r="A87" s="183">
        <f t="shared" si="4"/>
        <v>2057</v>
      </c>
      <c r="B87" s="199">
        <f t="shared" si="19"/>
        <v>0.3046981854340154</v>
      </c>
      <c r="C87" s="200">
        <f t="shared" si="20"/>
        <v>316107.27407633094</v>
      </c>
      <c r="D87" s="201">
        <f t="shared" si="13"/>
        <v>96317.312813551</v>
      </c>
      <c r="E87" s="202">
        <f t="shared" si="14"/>
        <v>0.04911345918578891</v>
      </c>
      <c r="F87" s="205">
        <v>0.30558057266200006</v>
      </c>
      <c r="G87" s="181">
        <v>96317.312813551</v>
      </c>
      <c r="H87" s="204">
        <v>0.04911975178632466</v>
      </c>
      <c r="I87" s="25"/>
      <c r="J87" s="25"/>
      <c r="K87" s="5">
        <f t="shared" si="21"/>
        <v>0.5406129523085126</v>
      </c>
      <c r="L87" s="3">
        <f t="shared" si="23"/>
        <v>1</v>
      </c>
      <c r="M87" s="2">
        <f t="shared" si="22"/>
        <v>1</v>
      </c>
      <c r="O87" s="23">
        <f t="shared" si="7"/>
        <v>0.20889038923045683</v>
      </c>
      <c r="P87" s="14">
        <f t="shared" si="8"/>
        <v>0.4036221223601391</v>
      </c>
      <c r="Q87" s="32">
        <f t="shared" si="9"/>
        <v>30940.161415021656</v>
      </c>
      <c r="R87" s="33">
        <f t="shared" si="10"/>
        <v>323606.7145178252</v>
      </c>
    </row>
    <row r="88" spans="1:13" ht="15.75" customHeight="1">
      <c r="A88" s="183">
        <f t="shared" si="4"/>
        <v>2058</v>
      </c>
      <c r="B88" s="199">
        <f t="shared" si="19"/>
        <v>0.3066072494615894</v>
      </c>
      <c r="C88" s="200">
        <f t="shared" si="20"/>
        <v>329521.9184663081</v>
      </c>
      <c r="D88" s="201">
        <f t="shared" si="13"/>
        <v>101033.80905826086</v>
      </c>
      <c r="E88" s="202">
        <f t="shared" si="14"/>
        <v>0.04896831220613418</v>
      </c>
      <c r="F88" s="205">
        <v>0.30749687505438755</v>
      </c>
      <c r="G88" s="181">
        <v>101033.80905826086</v>
      </c>
      <c r="H88" s="204">
        <v>0.048974145014198056</v>
      </c>
      <c r="I88" s="25"/>
      <c r="J88" s="25"/>
      <c r="K88" s="5">
        <f t="shared" si="21"/>
        <v>0.5322471360471841</v>
      </c>
      <c r="L88" s="3">
        <f t="shared" si="23"/>
        <v>1</v>
      </c>
      <c r="M88" s="2">
        <f t="shared" si="22"/>
        <v>1</v>
      </c>
    </row>
    <row r="89" spans="1:13" ht="15.75" customHeight="1">
      <c r="A89" s="183">
        <f t="shared" si="4"/>
        <v>2059</v>
      </c>
      <c r="B89" s="199">
        <f t="shared" si="19"/>
        <v>0.30848728660368496</v>
      </c>
      <c r="C89" s="200">
        <f t="shared" si="20"/>
        <v>343505.84012026276</v>
      </c>
      <c r="D89" s="201">
        <f t="shared" si="13"/>
        <v>105967.18455121908</v>
      </c>
      <c r="E89" s="202">
        <f t="shared" si="14"/>
        <v>0.04882895675162957</v>
      </c>
      <c r="F89" s="205">
        <v>0.3093839537984331</v>
      </c>
      <c r="G89" s="181">
        <v>105967.18455121908</v>
      </c>
      <c r="H89" s="204">
        <v>0.04883433559685324</v>
      </c>
      <c r="I89" s="25"/>
      <c r="J89" s="25"/>
      <c r="K89" s="5">
        <f t="shared" si="21"/>
        <v>0.524154439080958</v>
      </c>
      <c r="L89" s="3">
        <f t="shared" si="23"/>
        <v>1</v>
      </c>
      <c r="M89" s="2">
        <f t="shared" si="22"/>
        <v>1</v>
      </c>
    </row>
    <row r="90" spans="1:13" ht="15.75" customHeight="1">
      <c r="A90" s="183">
        <f t="shared" si="4"/>
        <v>2060</v>
      </c>
      <c r="B90" s="199">
        <f t="shared" si="19"/>
        <v>0.31033921278292476</v>
      </c>
      <c r="C90" s="200">
        <f t="shared" si="20"/>
        <v>358083.1974574463</v>
      </c>
      <c r="D90" s="201">
        <f t="shared" si="13"/>
        <v>111127.2576097365</v>
      </c>
      <c r="E90" s="202">
        <f t="shared" si="14"/>
        <v>0.04869500950101502</v>
      </c>
      <c r="F90" s="205">
        <v>0.31124272674914766</v>
      </c>
      <c r="G90" s="181">
        <v>111127.2576097365</v>
      </c>
      <c r="H90" s="204">
        <v>0.04869994180623993</v>
      </c>
      <c r="I90" s="25"/>
      <c r="J90" s="25"/>
      <c r="K90" s="5">
        <f t="shared" si="21"/>
        <v>0.5163171013827966</v>
      </c>
      <c r="L90" s="3">
        <f t="shared" si="23"/>
        <v>1</v>
      </c>
      <c r="M90" s="2">
        <f t="shared" si="22"/>
        <v>1</v>
      </c>
    </row>
    <row r="91" spans="1:13" ht="15.75" customHeight="1">
      <c r="A91" s="183">
        <f t="shared" si="4"/>
        <v>2061</v>
      </c>
      <c r="B91" s="199">
        <f t="shared" si="19"/>
        <v>0.31216388671207934</v>
      </c>
      <c r="C91" s="200">
        <f t="shared" si="20"/>
        <v>373279.17410794785</v>
      </c>
      <c r="D91" s="201">
        <f t="shared" si="13"/>
        <v>116524.27781821198</v>
      </c>
      <c r="E91" s="202">
        <f t="shared" si="14"/>
        <v>0.04856612432054308</v>
      </c>
      <c r="F91" s="205">
        <v>0.3130740548825384</v>
      </c>
      <c r="G91" s="181">
        <v>116524.27781821198</v>
      </c>
      <c r="H91" s="204">
        <v>0.04857061868830437</v>
      </c>
      <c r="I91" s="25"/>
      <c r="J91" s="25"/>
      <c r="K91" s="5">
        <f t="shared" si="21"/>
        <v>0.5087191728433735</v>
      </c>
      <c r="L91" s="3">
        <f t="shared" si="23"/>
        <v>1</v>
      </c>
      <c r="M91" s="2">
        <f t="shared" si="22"/>
        <v>1</v>
      </c>
    </row>
    <row r="92" spans="1:13" ht="15.75" customHeight="1">
      <c r="A92" s="183">
        <f t="shared" si="4"/>
        <v>2062</v>
      </c>
      <c r="B92" s="199">
        <f t="shared" si="19"/>
        <v>0.3139621154974714</v>
      </c>
      <c r="C92" s="200">
        <f t="shared" si="20"/>
        <v>389120.02241956675</v>
      </c>
      <c r="D92" s="201">
        <f t="shared" si="13"/>
        <v>122168.94542127068</v>
      </c>
      <c r="E92" s="202">
        <f t="shared" si="14"/>
        <v>0.04844198744458095</v>
      </c>
      <c r="F92" s="205">
        <v>0.3148787478217573</v>
      </c>
      <c r="G92" s="181">
        <v>122168.94542127068</v>
      </c>
      <c r="H92" s="204">
        <v>0.048446053334637584</v>
      </c>
      <c r="I92" s="25"/>
      <c r="J92" s="25"/>
      <c r="K92" s="5">
        <f t="shared" si="21"/>
        <v>0.5013462655827018</v>
      </c>
      <c r="L92" s="3">
        <f t="shared" si="23"/>
        <v>1</v>
      </c>
      <c r="M92" s="2">
        <f t="shared" si="22"/>
        <v>1</v>
      </c>
    </row>
    <row r="93" spans="1:13" ht="15.75" customHeight="1">
      <c r="A93" s="183">
        <f t="shared" si="4"/>
        <v>2063</v>
      </c>
      <c r="B93" s="199">
        <f t="shared" si="19"/>
        <v>0.3157346595043443</v>
      </c>
      <c r="C93" s="200">
        <f t="shared" si="20"/>
        <v>405633.1088109858</v>
      </c>
      <c r="D93" s="201">
        <f t="shared" si="13"/>
        <v>128072.43149412525</v>
      </c>
      <c r="E93" s="202">
        <f t="shared" si="14"/>
        <v>0.0483223134365105</v>
      </c>
      <c r="F93" s="205">
        <v>0.31665756864106503</v>
      </c>
      <c r="G93" s="181">
        <v>128072.43149412525</v>
      </c>
      <c r="H93" s="204">
        <v>0.048325960913507826</v>
      </c>
      <c r="I93" s="25"/>
      <c r="J93" s="25"/>
      <c r="K93" s="5">
        <f t="shared" si="21"/>
        <v>0.4941853481858345</v>
      </c>
      <c r="L93" s="3">
        <f t="shared" si="23"/>
        <v>1</v>
      </c>
      <c r="M93" s="2">
        <f t="shared" si="22"/>
        <v>1</v>
      </c>
    </row>
    <row r="94" spans="1:13" ht="15.75" customHeight="1">
      <c r="A94" s="183">
        <f t="shared" si="4"/>
        <v>2064</v>
      </c>
      <c r="B94" s="199">
        <f t="shared" si="19"/>
        <v>0.3174822366045912</v>
      </c>
      <c r="C94" s="200">
        <f t="shared" si="20"/>
        <v>422846.96104959754</v>
      </c>
      <c r="D94" s="201">
        <f t="shared" si="13"/>
        <v>134246.39893548068</v>
      </c>
      <c r="E94" s="202">
        <f t="shared" si="14"/>
        <v>0.04820684177951784</v>
      </c>
      <c r="F94" s="205">
        <v>0.318411238064533</v>
      </c>
      <c r="G94" s="181">
        <v>134246.39893548068</v>
      </c>
      <c r="H94" s="204">
        <v>0.04821008131505211</v>
      </c>
      <c r="I94" s="25"/>
      <c r="J94" s="25"/>
      <c r="K94" s="5">
        <f t="shared" si="21"/>
        <v>0.487224573504758</v>
      </c>
      <c r="L94" s="3">
        <f t="shared" si="23"/>
        <v>1</v>
      </c>
      <c r="M94" s="2">
        <f t="shared" si="22"/>
        <v>1</v>
      </c>
    </row>
    <row r="95" spans="1:13" ht="15.75" customHeight="1">
      <c r="A95" s="183">
        <f t="shared" si="4"/>
        <v>2065</v>
      </c>
      <c r="B95" s="199">
        <f t="shared" si="19"/>
        <v>0.31920552590407614</v>
      </c>
      <c r="C95" s="200">
        <f t="shared" si="20"/>
        <v>440791.31753565924</v>
      </c>
      <c r="D95" s="201">
        <f t="shared" si="13"/>
        <v>140703.02432792072</v>
      </c>
      <c r="E95" s="202">
        <f t="shared" si="14"/>
        <v>0.048095333980191945</v>
      </c>
      <c r="F95" s="205">
        <v>0.32014043815407434</v>
      </c>
      <c r="G95" s="181">
        <v>140703.02432792072</v>
      </c>
      <c r="H95" s="204">
        <v>0.04809817629735136</v>
      </c>
      <c r="I95" s="25"/>
      <c r="J95" s="25"/>
      <c r="K95" s="5">
        <f t="shared" si="21"/>
        <v>0.4804531335689102</v>
      </c>
      <c r="L95" s="3">
        <f t="shared" si="23"/>
        <v>1</v>
      </c>
      <c r="M95" s="2">
        <f t="shared" si="22"/>
        <v>1</v>
      </c>
    </row>
    <row r="96" spans="1:13" ht="15.75" customHeight="1">
      <c r="A96" s="183">
        <f t="shared" si="4"/>
        <v>2066</v>
      </c>
      <c r="B96" s="199">
        <f t="shared" si="19"/>
        <v>0.32090517102870875</v>
      </c>
      <c r="C96" s="200">
        <f t="shared" si="20"/>
        <v>459497.1786779199</v>
      </c>
      <c r="D96" s="201">
        <f t="shared" si="13"/>
        <v>147455.02071084702</v>
      </c>
      <c r="E96" s="202">
        <f t="shared" si="14"/>
        <v>0.047987571092929615</v>
      </c>
      <c r="F96" s="205">
        <v>0.32184581556393804</v>
      </c>
      <c r="G96" s="181">
        <v>147455.02071084702</v>
      </c>
      <c r="H96" s="204">
        <v>0.047990027044182426</v>
      </c>
      <c r="I96" s="25"/>
      <c r="J96" s="25"/>
      <c r="K96" s="5">
        <f t="shared" si="21"/>
        <v>0.47386113656535067</v>
      </c>
      <c r="L96" s="3">
        <f t="shared" si="23"/>
        <v>1</v>
      </c>
      <c r="M96" s="2">
        <f t="shared" si="22"/>
        <v>1</v>
      </c>
    </row>
    <row r="97" spans="1:13" ht="15.75" customHeight="1">
      <c r="A97" s="183">
        <f t="shared" si="4"/>
        <v>2067</v>
      </c>
      <c r="B97" s="199">
        <f t="shared" si="19"/>
        <v>0.3225817830341967</v>
      </c>
      <c r="C97" s="200">
        <f t="shared" si="20"/>
        <v>478996.8604494747</v>
      </c>
      <c r="D97" s="201">
        <f t="shared" si="13"/>
        <v>154515.66131157384</v>
      </c>
      <c r="E97" s="202">
        <f t="shared" si="14"/>
        <v>0.04788335159216062</v>
      </c>
      <c r="F97" s="205">
        <v>0.3235279844250234</v>
      </c>
      <c r="G97" s="181">
        <v>154515.66131157384</v>
      </c>
      <c r="H97" s="204">
        <v>0.04788543206356621</v>
      </c>
      <c r="I97" s="25"/>
      <c r="J97" s="25"/>
      <c r="K97" s="5">
        <f t="shared" si="21"/>
        <v>0.4674395019203593</v>
      </c>
      <c r="L97" s="3">
        <f t="shared" si="23"/>
        <v>1</v>
      </c>
      <c r="M97" s="2">
        <f t="shared" si="22"/>
        <v>1</v>
      </c>
    </row>
    <row r="98" spans="1:13" ht="15.75" customHeight="1">
      <c r="A98" s="183">
        <f t="shared" si="4"/>
        <v>2068</v>
      </c>
      <c r="B98" s="199">
        <f aca="true" t="shared" si="24" ref="B98:B131">+B97+B$6*K98*L98</f>
        <v>0.32423594299309905</v>
      </c>
      <c r="C98" s="200">
        <f t="shared" si="20"/>
        <v>499324.050216369</v>
      </c>
      <c r="D98" s="201">
        <f t="shared" si="13"/>
        <v>161898.80428103794</v>
      </c>
      <c r="E98" s="202">
        <f t="shared" si="14"/>
        <v>0.04778248953403064</v>
      </c>
      <c r="F98" s="205">
        <v>0.32518752891141506</v>
      </c>
      <c r="G98" s="181">
        <v>161898.80428103794</v>
      </c>
      <c r="H98" s="204">
        <v>0.04778420537030237</v>
      </c>
      <c r="I98" s="25"/>
      <c r="J98" s="25"/>
      <c r="K98" s="5">
        <f t="shared" si="21"/>
        <v>0.4611798703307505</v>
      </c>
      <c r="L98" s="3">
        <f t="shared" si="23"/>
        <v>1</v>
      </c>
      <c r="M98" s="2">
        <f t="shared" si="22"/>
        <v>1</v>
      </c>
    </row>
    <row r="99" spans="1:13" ht="15.75" customHeight="1">
      <c r="A99" s="183">
        <f t="shared" si="4"/>
        <v>2069</v>
      </c>
      <c r="B99" s="199">
        <f t="shared" si="24"/>
        <v>0.3258682043037514</v>
      </c>
      <c r="C99" s="200">
        <f t="shared" si="20"/>
        <v>520513.8649354009</v>
      </c>
      <c r="D99" s="201">
        <f t="shared" si="13"/>
        <v>169618.9184817045</v>
      </c>
      <c r="E99" s="202">
        <f t="shared" si="14"/>
        <v>0.04768481296047944</v>
      </c>
      <c r="F99" s="205">
        <v>0.3268250055327507</v>
      </c>
      <c r="G99" s="181">
        <v>169618.9184817045</v>
      </c>
      <c r="H99" s="204">
        <v>0.047686174906643286</v>
      </c>
      <c r="I99" s="25"/>
      <c r="J99" s="25"/>
      <c r="K99" s="5">
        <f t="shared" si="21"/>
        <v>0.45507452622179956</v>
      </c>
      <c r="L99" s="3">
        <f t="shared" si="23"/>
        <v>1</v>
      </c>
      <c r="M99" s="2">
        <f t="shared" si="22"/>
        <v>1</v>
      </c>
    </row>
    <row r="100" spans="1:13" ht="15.75" customHeight="1">
      <c r="A100" s="183">
        <f t="shared" si="4"/>
        <v>2070</v>
      </c>
      <c r="B100" s="199">
        <f t="shared" si="24"/>
        <v>0.3274790947583364</v>
      </c>
      <c r="C100" s="200">
        <f t="shared" si="20"/>
        <v>542602.9118216644</v>
      </c>
      <c r="D100" s="201">
        <f t="shared" si="13"/>
        <v>177691.1103765961</v>
      </c>
      <c r="E100" s="202">
        <f t="shared" si="14"/>
        <v>0.04759016250750525</v>
      </c>
      <c r="F100" s="205">
        <v>0.3284409451889362</v>
      </c>
      <c r="G100" s="181">
        <v>177691.1103765961</v>
      </c>
      <c r="H100" s="204">
        <v>0.0475911811637979</v>
      </c>
      <c r="I100" s="25"/>
      <c r="J100" s="25"/>
      <c r="K100" s="5">
        <f t="shared" si="21"/>
        <v>0.4491163305969167</v>
      </c>
      <c r="L100" s="3">
        <f t="shared" si="23"/>
        <v>1</v>
      </c>
      <c r="M100" s="2">
        <f t="shared" si="22"/>
        <v>1</v>
      </c>
    </row>
    <row r="101" spans="1:13" ht="15.75" customHeight="1">
      <c r="A101" s="183">
        <f t="shared" si="4"/>
        <v>2071</v>
      </c>
      <c r="B101" s="199">
        <f t="shared" si="24"/>
        <v>0.3290691184014455</v>
      </c>
      <c r="C101" s="200">
        <f t="shared" si="20"/>
        <v>565629.3515906404</v>
      </c>
      <c r="D101" s="201">
        <f t="shared" si="13"/>
        <v>186131.15206991328</v>
      </c>
      <c r="E101" s="202">
        <f t="shared" si="14"/>
        <v>0.047498390186371475</v>
      </c>
      <c r="F101" s="205">
        <v>0.3300358550179522</v>
      </c>
      <c r="G101" s="181">
        <v>186131.15206991328</v>
      </c>
      <c r="H101" s="204">
        <v>0.04749907597372949</v>
      </c>
      <c r="I101" s="25"/>
      <c r="J101" s="25"/>
      <c r="K101" s="5">
        <f t="shared" si="21"/>
        <v>0.4432986626265878</v>
      </c>
      <c r="L101" s="3">
        <f t="shared" si="23"/>
        <v>1</v>
      </c>
      <c r="M101" s="2">
        <f t="shared" si="22"/>
        <v>1</v>
      </c>
    </row>
    <row r="102" spans="1:13" ht="15.75" customHeight="1">
      <c r="A102" s="183">
        <f t="shared" si="4"/>
        <v>2072</v>
      </c>
      <c r="B102" s="199">
        <f t="shared" si="24"/>
        <v>0.33063875720563285</v>
      </c>
      <c r="C102" s="200">
        <f t="shared" si="20"/>
        <v>589632.9643840923</v>
      </c>
      <c r="D102" s="201">
        <f t="shared" si="13"/>
        <v>194955.51055142944</v>
      </c>
      <c r="E102" s="202">
        <f t="shared" si="14"/>
        <v>0.047409358312044514</v>
      </c>
      <c r="F102" s="205">
        <v>0.3316102200627713</v>
      </c>
      <c r="G102" s="181">
        <v>194955.51055142944</v>
      </c>
      <c r="H102" s="204">
        <v>0.047409721446088904</v>
      </c>
      <c r="I102" s="25"/>
      <c r="J102" s="25"/>
      <c r="K102" s="5">
        <f t="shared" si="21"/>
        <v>0.43761536862590034</v>
      </c>
      <c r="L102" s="3">
        <f t="shared" si="23"/>
        <v>1</v>
      </c>
      <c r="M102" s="2">
        <f t="shared" si="22"/>
        <v>1</v>
      </c>
    </row>
    <row r="103" spans="1:13" ht="15.75" customHeight="1">
      <c r="A103" s="183">
        <f t="shared" si="4"/>
        <v>2073</v>
      </c>
      <c r="B103" s="199">
        <f t="shared" si="24"/>
        <v>0.33218847258648004</v>
      </c>
      <c r="C103" s="200">
        <f t="shared" si="20"/>
        <v>614655.2184936599</v>
      </c>
      <c r="D103" s="201">
        <f t="shared" si="13"/>
        <v>204181.37819871804</v>
      </c>
      <c r="E103" s="202">
        <f t="shared" si="14"/>
        <v>0.04732293855758862</v>
      </c>
      <c r="F103" s="205">
        <v>0.33316450477951637</v>
      </c>
      <c r="G103" s="181">
        <v>204181.37819871804</v>
      </c>
      <c r="H103" s="204">
        <v>0.047322989029417784</v>
      </c>
      <c r="I103" s="25"/>
      <c r="J103" s="25"/>
      <c r="K103" s="5">
        <f t="shared" si="21"/>
        <v>0.43206071730991225</v>
      </c>
      <c r="L103" s="3">
        <f t="shared" si="23"/>
        <v>1</v>
      </c>
      <c r="M103" s="2">
        <f t="shared" si="22"/>
        <v>1</v>
      </c>
    </row>
    <row r="104" spans="1:13" ht="15.75" customHeight="1">
      <c r="A104" s="183">
        <f aca="true" t="shared" si="25" ref="A104:A131">+A103+1</f>
        <v>2074</v>
      </c>
      <c r="B104" s="199">
        <f t="shared" si="24"/>
        <v>0.33371870677639215</v>
      </c>
      <c r="C104" s="200">
        <f t="shared" si="20"/>
        <v>640739.3420008753</v>
      </c>
      <c r="D104" s="201">
        <f t="shared" si="13"/>
        <v>213826.70459328854</v>
      </c>
      <c r="E104" s="202">
        <f t="shared" si="14"/>
        <v>0.047239011116788854</v>
      </c>
      <c r="F104" s="205">
        <v>0.3346991544057698</v>
      </c>
      <c r="G104" s="181">
        <v>213826.70459328854</v>
      </c>
      <c r="H104" s="204">
        <v>0.04723875867924909</v>
      </c>
      <c r="I104" s="25"/>
      <c r="J104" s="25"/>
      <c r="K104" s="5">
        <f t="shared" si="21"/>
        <v>0.426629360408191</v>
      </c>
      <c r="L104" s="3">
        <f t="shared" si="23"/>
        <v>1</v>
      </c>
      <c r="M104" s="2">
        <f t="shared" si="22"/>
        <v>1</v>
      </c>
    </row>
    <row r="105" spans="1:13" ht="15.75" customHeight="1">
      <c r="A105" s="206">
        <f t="shared" si="25"/>
        <v>2075</v>
      </c>
      <c r="B105" s="199">
        <f t="shared" si="24"/>
        <v>0.33507876634388706</v>
      </c>
      <c r="C105" s="200">
        <f t="shared" si="20"/>
        <v>667930.3974573663</v>
      </c>
      <c r="D105" s="201">
        <f t="shared" si="13"/>
        <v>223809.29358359647</v>
      </c>
      <c r="E105" s="202">
        <f t="shared" si="14"/>
        <v>0.04668541756416933</v>
      </c>
      <c r="F105" s="215">
        <v>0.33606305202531345</v>
      </c>
      <c r="G105" s="209">
        <v>223809.29358359647</v>
      </c>
      <c r="H105" s="210">
        <v>0.046684926306681085</v>
      </c>
      <c r="I105" s="25"/>
      <c r="J105" s="25"/>
      <c r="K105" s="5">
        <f t="shared" si="21"/>
        <v>0.42131629787459146</v>
      </c>
      <c r="L105" s="3">
        <f t="shared" si="23"/>
        <v>0.9</v>
      </c>
      <c r="M105" s="2">
        <f t="shared" si="22"/>
        <v>0</v>
      </c>
    </row>
    <row r="106" spans="1:13" ht="15.75" customHeight="1">
      <c r="A106" s="183">
        <f t="shared" si="25"/>
        <v>2076</v>
      </c>
      <c r="B106" s="199">
        <f t="shared" si="24"/>
        <v>0.3362742746368068</v>
      </c>
      <c r="C106" s="200">
        <f t="shared" si="20"/>
        <v>696275.3597342644</v>
      </c>
      <c r="D106" s="201">
        <f t="shared" si="13"/>
        <v>234139.4915421215</v>
      </c>
      <c r="E106" s="202">
        <f t="shared" si="14"/>
        <v>0.04615625112397992</v>
      </c>
      <c r="F106" s="205">
        <v>0.3372618653565353</v>
      </c>
      <c r="G106" s="181">
        <v>234139.4915421215</v>
      </c>
      <c r="H106" s="204">
        <v>0.046155609841300516</v>
      </c>
      <c r="I106" s="25"/>
      <c r="J106" s="25"/>
      <c r="K106" s="5">
        <f t="shared" si="21"/>
        <v>0.41663470674409486</v>
      </c>
      <c r="L106" s="4">
        <f>AVERAGE(M97:M106)</f>
        <v>0.8</v>
      </c>
      <c r="M106" s="2">
        <f t="shared" si="22"/>
        <v>0</v>
      </c>
    </row>
    <row r="107" spans="1:13" ht="15.75" customHeight="1">
      <c r="A107" s="183">
        <f t="shared" si="25"/>
        <v>2077</v>
      </c>
      <c r="B107" s="199">
        <f t="shared" si="24"/>
        <v>0.3373100895380537</v>
      </c>
      <c r="C107" s="200">
        <f t="shared" si="20"/>
        <v>725823.1971753073</v>
      </c>
      <c r="D107" s="201">
        <f t="shared" si="13"/>
        <v>244827.4876279993</v>
      </c>
      <c r="E107" s="202">
        <f t="shared" si="14"/>
        <v>0.045647985376080946</v>
      </c>
      <c r="F107" s="205">
        <v>0.33830049073583</v>
      </c>
      <c r="G107" s="181">
        <v>244827.4876279993</v>
      </c>
      <c r="H107" s="204">
        <v>0.04564726963238552</v>
      </c>
      <c r="I107" s="25"/>
      <c r="J107" s="25"/>
      <c r="K107" s="5">
        <f t="shared" si="21"/>
        <v>0.4125503438189556</v>
      </c>
      <c r="L107" s="4">
        <f aca="true" t="shared" si="26" ref="L107:L131">AVERAGE(M98:M107)</f>
        <v>0.7</v>
      </c>
      <c r="M107" s="2">
        <f t="shared" si="22"/>
        <v>0</v>
      </c>
    </row>
    <row r="108" spans="1:13" ht="15.75" customHeight="1">
      <c r="A108" s="183">
        <f t="shared" si="25"/>
        <v>2078</v>
      </c>
      <c r="B108" s="199">
        <f t="shared" si="24"/>
        <v>0.33819036425725185</v>
      </c>
      <c r="C108" s="200">
        <f t="shared" si="20"/>
        <v>756624.9561938357</v>
      </c>
      <c r="D108" s="201">
        <f t="shared" si="13"/>
        <v>255883.26954132054</v>
      </c>
      <c r="E108" s="202">
        <f t="shared" si="14"/>
        <v>0.04515743726505028</v>
      </c>
      <c r="F108" s="205">
        <v>0.33918311431677794</v>
      </c>
      <c r="G108" s="181">
        <v>255883.26954132054</v>
      </c>
      <c r="H108" s="204">
        <v>0.045156710739559625</v>
      </c>
      <c r="I108" s="25"/>
      <c r="J108" s="25"/>
      <c r="K108" s="5">
        <f t="shared" si="21"/>
        <v>0.4090343849662531</v>
      </c>
      <c r="L108" s="4">
        <f t="shared" si="26"/>
        <v>0.6</v>
      </c>
      <c r="M108" s="2">
        <f t="shared" si="22"/>
        <v>0</v>
      </c>
    </row>
    <row r="109" spans="1:13" ht="15.75" customHeight="1">
      <c r="A109" s="183">
        <f t="shared" si="25"/>
        <v>2079</v>
      </c>
      <c r="B109" s="199">
        <f t="shared" si="24"/>
        <v>0.3389185971929638</v>
      </c>
      <c r="C109" s="200">
        <f t="shared" si="20"/>
        <v>788733.8494598333</v>
      </c>
      <c r="D109" s="201">
        <f t="shared" si="13"/>
        <v>267316.569817533</v>
      </c>
      <c r="E109" s="202">
        <f t="shared" si="14"/>
        <v>0.04468170309339503</v>
      </c>
      <c r="F109" s="205">
        <v>0.3399132622824118</v>
      </c>
      <c r="G109" s="181">
        <v>267316.569817533</v>
      </c>
      <c r="H109" s="204">
        <v>0.044681018710614584</v>
      </c>
      <c r="I109" s="25"/>
      <c r="J109" s="25"/>
      <c r="K109" s="5">
        <f aca="true" t="shared" si="27" ref="K109:K131">IF(B108&lt;$B$7,1,1-((B108-$B$7)/$B$7)^$C$7)</f>
        <v>0.40606274992301805</v>
      </c>
      <c r="L109" s="4">
        <f t="shared" si="26"/>
        <v>0.5</v>
      </c>
      <c r="M109" s="2">
        <f aca="true" t="shared" si="28" ref="M109:M131">IF(A109&lt;$F$7,1,0)</f>
        <v>0</v>
      </c>
    </row>
    <row r="110" spans="1:13" ht="15.75" customHeight="1">
      <c r="A110" s="183">
        <f t="shared" si="25"/>
        <v>2080</v>
      </c>
      <c r="B110" s="199">
        <f t="shared" si="24"/>
        <v>0.33949767252304247</v>
      </c>
      <c r="C110" s="200">
        <f t="shared" si="20"/>
        <v>822205.3478293602</v>
      </c>
      <c r="D110" s="201">
        <f t="shared" si="13"/>
        <v>279136.8019240663</v>
      </c>
      <c r="E110" s="202">
        <f t="shared" si="14"/>
        <v>0.04421810482830013</v>
      </c>
      <c r="F110" s="205">
        <v>0.3404938417314494</v>
      </c>
      <c r="G110" s="181">
        <v>279136.8019240663</v>
      </c>
      <c r="H110" s="204">
        <v>0.04421750569446026</v>
      </c>
      <c r="I110" s="25"/>
      <c r="J110" s="25"/>
      <c r="K110" s="5">
        <f t="shared" si="27"/>
        <v>0.40361556964332546</v>
      </c>
      <c r="L110" s="4">
        <f t="shared" si="26"/>
        <v>0.4</v>
      </c>
      <c r="M110" s="2">
        <f t="shared" si="28"/>
        <v>0</v>
      </c>
    </row>
    <row r="111" spans="1:13" ht="15.75" customHeight="1">
      <c r="A111" s="183">
        <f t="shared" si="25"/>
        <v>2081</v>
      </c>
      <c r="B111" s="199">
        <f t="shared" si="24"/>
        <v>0.3399298927923542</v>
      </c>
      <c r="C111" s="200">
        <f t="shared" si="20"/>
        <v>857097.2761751945</v>
      </c>
      <c r="D111" s="201">
        <f aca="true" t="shared" si="29" ref="D111:D131">+B111*C111</f>
        <v>291352.9852028527</v>
      </c>
      <c r="E111" s="202">
        <f aca="true" t="shared" si="30" ref="E111:E131">+D111/D110-1</f>
        <v>0.0437641442997887</v>
      </c>
      <c r="F111" s="205">
        <v>0.340927173511025</v>
      </c>
      <c r="G111" s="181">
        <v>291352.9852028527</v>
      </c>
      <c r="H111" s="204">
        <v>0.043763664464791185</v>
      </c>
      <c r="I111" s="25"/>
      <c r="J111" s="25"/>
      <c r="K111" s="5">
        <f t="shared" si="27"/>
        <v>0.4016767678819667</v>
      </c>
      <c r="L111" s="4">
        <f t="shared" si="26"/>
        <v>0.3</v>
      </c>
      <c r="M111" s="2">
        <f t="shared" si="28"/>
        <v>0</v>
      </c>
    </row>
    <row r="112" spans="1:13" ht="15.75" customHeight="1">
      <c r="A112" s="183">
        <f t="shared" si="25"/>
        <v>2082</v>
      </c>
      <c r="B112" s="199">
        <f t="shared" si="24"/>
        <v>0.3402170044653685</v>
      </c>
      <c r="C112" s="200">
        <f t="shared" si="20"/>
        <v>893469.9132842411</v>
      </c>
      <c r="D112" s="201">
        <f t="shared" si="29"/>
        <v>303973.65747749706</v>
      </c>
      <c r="E112" s="202">
        <f t="shared" si="30"/>
        <v>0.0433174634056257</v>
      </c>
      <c r="F112" s="205">
        <v>0.34121501796644305</v>
      </c>
      <c r="G112" s="181">
        <v>303973.65747749706</v>
      </c>
      <c r="H112" s="204">
        <v>0.04331712846697555</v>
      </c>
      <c r="I112" s="25"/>
      <c r="J112" s="25"/>
      <c r="K112" s="5">
        <f t="shared" si="27"/>
        <v>0.4002337362193362</v>
      </c>
      <c r="L112" s="4">
        <f t="shared" si="26"/>
        <v>0.2</v>
      </c>
      <c r="M112" s="2">
        <f t="shared" si="28"/>
        <v>0</v>
      </c>
    </row>
    <row r="113" spans="1:13" ht="15.75" customHeight="1">
      <c r="A113" s="183">
        <f t="shared" si="25"/>
        <v>2083</v>
      </c>
      <c r="B113" s="199">
        <f t="shared" si="24"/>
        <v>0.3403602171710357</v>
      </c>
      <c r="C113" s="200">
        <f t="shared" si="20"/>
        <v>931386.0959942844</v>
      </c>
      <c r="D113" s="201">
        <f t="shared" si="29"/>
        <v>317006.7739026977</v>
      </c>
      <c r="E113" s="202">
        <f t="shared" si="30"/>
        <v>0.04287580882289288</v>
      </c>
      <c r="F113" s="205">
        <v>0.34135859433798615</v>
      </c>
      <c r="G113" s="181">
        <v>317006.7739026977</v>
      </c>
      <c r="H113" s="204">
        <v>0.042875636385098836</v>
      </c>
      <c r="I113" s="25"/>
      <c r="J113" s="25"/>
      <c r="K113" s="5">
        <f t="shared" si="27"/>
        <v>0.39927708728443356</v>
      </c>
      <c r="L113" s="4">
        <f t="shared" si="26"/>
        <v>0.1</v>
      </c>
      <c r="M113" s="2">
        <f t="shared" si="28"/>
        <v>0</v>
      </c>
    </row>
    <row r="114" spans="1:13" ht="15.75" customHeight="1">
      <c r="A114" s="183">
        <f t="shared" si="25"/>
        <v>2084</v>
      </c>
      <c r="B114" s="199">
        <f t="shared" si="24"/>
        <v>0.3403602171710357</v>
      </c>
      <c r="C114" s="200">
        <f t="shared" si="20"/>
        <v>970911.3277499937</v>
      </c>
      <c r="D114" s="201">
        <f t="shared" si="29"/>
        <v>330459.5903668065</v>
      </c>
      <c r="E114" s="202">
        <f t="shared" si="30"/>
        <v>0.042436999999999836</v>
      </c>
      <c r="F114" s="205">
        <v>0.34135859433798615</v>
      </c>
      <c r="G114" s="181">
        <v>330459.5903668065</v>
      </c>
      <c r="H114" s="204">
        <v>0.042436999999999836</v>
      </c>
      <c r="I114" s="25"/>
      <c r="J114" s="25"/>
      <c r="K114" s="5">
        <f t="shared" si="27"/>
        <v>0.3988004751464429</v>
      </c>
      <c r="L114" s="4">
        <f t="shared" si="26"/>
        <v>0</v>
      </c>
      <c r="M114" s="2">
        <f t="shared" si="28"/>
        <v>0</v>
      </c>
    </row>
    <row r="115" spans="1:13" ht="15.75" customHeight="1">
      <c r="A115" s="183">
        <f t="shared" si="25"/>
        <v>2085</v>
      </c>
      <c r="B115" s="199">
        <f t="shared" si="24"/>
        <v>0.3403602171710357</v>
      </c>
      <c r="C115" s="200">
        <f t="shared" si="20"/>
        <v>1012113.8917657199</v>
      </c>
      <c r="D115" s="201">
        <f t="shared" si="29"/>
        <v>344483.30400320253</v>
      </c>
      <c r="E115" s="202">
        <f t="shared" si="30"/>
        <v>0.042436999999999614</v>
      </c>
      <c r="F115" s="205">
        <v>0.34135859433798615</v>
      </c>
      <c r="G115" s="181">
        <v>344483.30400320253</v>
      </c>
      <c r="H115" s="204">
        <v>0.042436999999999614</v>
      </c>
      <c r="I115" s="25"/>
      <c r="J115" s="25"/>
      <c r="K115" s="5">
        <f t="shared" si="27"/>
        <v>0.3988004751464429</v>
      </c>
      <c r="L115" s="4">
        <f t="shared" si="26"/>
        <v>0</v>
      </c>
      <c r="M115" s="2">
        <f t="shared" si="28"/>
        <v>0</v>
      </c>
    </row>
    <row r="116" spans="1:13" ht="15.75" customHeight="1">
      <c r="A116" s="183">
        <f t="shared" si="25"/>
        <v>2086</v>
      </c>
      <c r="B116" s="199">
        <f t="shared" si="24"/>
        <v>0.3403602171710357</v>
      </c>
      <c r="C116" s="200">
        <f t="shared" si="20"/>
        <v>1055064.9689905816</v>
      </c>
      <c r="D116" s="201">
        <f t="shared" si="29"/>
        <v>359102.1419751864</v>
      </c>
      <c r="E116" s="202">
        <f t="shared" si="30"/>
        <v>0.042436999999999836</v>
      </c>
      <c r="F116" s="205">
        <v>0.34135859433798615</v>
      </c>
      <c r="G116" s="181">
        <v>359102.1419751864</v>
      </c>
      <c r="H116" s="204">
        <v>0.042436999999999836</v>
      </c>
      <c r="I116" s="25"/>
      <c r="J116" s="25"/>
      <c r="K116" s="5">
        <f t="shared" si="27"/>
        <v>0.3988004751464429</v>
      </c>
      <c r="L116" s="4">
        <f t="shared" si="26"/>
        <v>0</v>
      </c>
      <c r="M116" s="2">
        <f t="shared" si="28"/>
        <v>0</v>
      </c>
    </row>
    <row r="117" spans="1:13" ht="15.75" customHeight="1">
      <c r="A117" s="183">
        <f t="shared" si="25"/>
        <v>2087</v>
      </c>
      <c r="B117" s="199">
        <f t="shared" si="24"/>
        <v>0.3403602171710357</v>
      </c>
      <c r="C117" s="200">
        <f t="shared" si="20"/>
        <v>1099838.7610796348</v>
      </c>
      <c r="D117" s="201">
        <f t="shared" si="29"/>
        <v>374341.3595741874</v>
      </c>
      <c r="E117" s="202">
        <f t="shared" si="30"/>
        <v>0.042436999999999836</v>
      </c>
      <c r="F117" s="205">
        <v>0.34135859433798615</v>
      </c>
      <c r="G117" s="181">
        <v>374341.3595741874</v>
      </c>
      <c r="H117" s="204">
        <v>0.042436999999999836</v>
      </c>
      <c r="I117" s="25"/>
      <c r="J117" s="25"/>
      <c r="K117" s="5">
        <f t="shared" si="27"/>
        <v>0.3988004751464429</v>
      </c>
      <c r="L117" s="4">
        <f t="shared" si="26"/>
        <v>0</v>
      </c>
      <c r="M117" s="2">
        <f t="shared" si="28"/>
        <v>0</v>
      </c>
    </row>
    <row r="118" spans="1:13" ht="15.75" customHeight="1">
      <c r="A118" s="183">
        <f t="shared" si="25"/>
        <v>2088</v>
      </c>
      <c r="B118" s="199">
        <f t="shared" si="24"/>
        <v>0.3403602171710357</v>
      </c>
      <c r="C118" s="200">
        <f t="shared" si="20"/>
        <v>1146512.618583571</v>
      </c>
      <c r="D118" s="201">
        <f t="shared" si="29"/>
        <v>390227.28385043703</v>
      </c>
      <c r="E118" s="202">
        <f t="shared" si="30"/>
        <v>0.042436999999999614</v>
      </c>
      <c r="F118" s="205">
        <v>0.34135859433798615</v>
      </c>
      <c r="G118" s="181">
        <v>390227.28385043703</v>
      </c>
      <c r="H118" s="204">
        <v>0.042436999999999836</v>
      </c>
      <c r="I118" s="25"/>
      <c r="J118" s="25"/>
      <c r="K118" s="5">
        <f t="shared" si="27"/>
        <v>0.3988004751464429</v>
      </c>
      <c r="L118" s="4">
        <f t="shared" si="26"/>
        <v>0</v>
      </c>
      <c r="M118" s="2">
        <f t="shared" si="28"/>
        <v>0</v>
      </c>
    </row>
    <row r="119" spans="1:13" ht="15.75" customHeight="1">
      <c r="A119" s="183">
        <f t="shared" si="25"/>
        <v>2089</v>
      </c>
      <c r="B119" s="199">
        <f t="shared" si="24"/>
        <v>0.3403602171710357</v>
      </c>
      <c r="C119" s="200">
        <f t="shared" si="20"/>
        <v>1195167.1745784017</v>
      </c>
      <c r="D119" s="201">
        <f t="shared" si="29"/>
        <v>406787.3590951979</v>
      </c>
      <c r="E119" s="202">
        <f t="shared" si="30"/>
        <v>0.042436999999999836</v>
      </c>
      <c r="F119" s="205">
        <v>0.34135859433798615</v>
      </c>
      <c r="G119" s="181">
        <v>406787.3590951979</v>
      </c>
      <c r="H119" s="204">
        <v>0.042436999999999836</v>
      </c>
      <c r="I119" s="25"/>
      <c r="J119" s="25"/>
      <c r="K119" s="5">
        <f t="shared" si="27"/>
        <v>0.3988004751464429</v>
      </c>
      <c r="L119" s="4">
        <f t="shared" si="26"/>
        <v>0</v>
      </c>
      <c r="M119" s="2">
        <f t="shared" si="28"/>
        <v>0</v>
      </c>
    </row>
    <row r="120" spans="1:13" ht="15.75" customHeight="1">
      <c r="A120" s="183">
        <f t="shared" si="25"/>
        <v>2090</v>
      </c>
      <c r="B120" s="199">
        <f t="shared" si="24"/>
        <v>0.3403602171710357</v>
      </c>
      <c r="C120" s="200">
        <f t="shared" si="20"/>
        <v>1245886.4839659852</v>
      </c>
      <c r="D120" s="201">
        <f t="shared" si="29"/>
        <v>424050.1942531208</v>
      </c>
      <c r="E120" s="202">
        <f t="shared" si="30"/>
        <v>0.042436999999999836</v>
      </c>
      <c r="F120" s="205">
        <v>0.34135859433798615</v>
      </c>
      <c r="G120" s="181">
        <v>424050.1942531208</v>
      </c>
      <c r="H120" s="204">
        <v>0.042436999999999836</v>
      </c>
      <c r="I120" s="25"/>
      <c r="J120" s="25"/>
      <c r="K120" s="5">
        <f t="shared" si="27"/>
        <v>0.3988004751464429</v>
      </c>
      <c r="L120" s="4">
        <f t="shared" si="26"/>
        <v>0</v>
      </c>
      <c r="M120" s="2">
        <f t="shared" si="28"/>
        <v>0</v>
      </c>
    </row>
    <row r="121" spans="1:13" ht="15.75" customHeight="1">
      <c r="A121" s="183">
        <f t="shared" si="25"/>
        <v>2091</v>
      </c>
      <c r="B121" s="199">
        <f t="shared" si="24"/>
        <v>0.3403602171710357</v>
      </c>
      <c r="C121" s="200">
        <f t="shared" si="20"/>
        <v>1298758.1686860495</v>
      </c>
      <c r="D121" s="201">
        <f t="shared" si="29"/>
        <v>442045.61234664044</v>
      </c>
      <c r="E121" s="202">
        <f t="shared" si="30"/>
        <v>0.042436999999999836</v>
      </c>
      <c r="F121" s="205">
        <v>0.34135859433798615</v>
      </c>
      <c r="G121" s="181">
        <v>442045.61234664044</v>
      </c>
      <c r="H121" s="204">
        <v>0.042436999999999836</v>
      </c>
      <c r="I121" s="25"/>
      <c r="J121" s="25"/>
      <c r="K121" s="5">
        <f t="shared" si="27"/>
        <v>0.3988004751464429</v>
      </c>
      <c r="L121" s="4">
        <f t="shared" si="26"/>
        <v>0</v>
      </c>
      <c r="M121" s="2">
        <f t="shared" si="28"/>
        <v>0</v>
      </c>
    </row>
    <row r="122" spans="1:13" ht="15.75" customHeight="1">
      <c r="A122" s="183">
        <f t="shared" si="25"/>
        <v>2092</v>
      </c>
      <c r="B122" s="199">
        <f t="shared" si="24"/>
        <v>0.3403602171710357</v>
      </c>
      <c r="C122" s="200">
        <f t="shared" si="20"/>
        <v>1353873.5690905792</v>
      </c>
      <c r="D122" s="201">
        <f t="shared" si="29"/>
        <v>460804.70199779473</v>
      </c>
      <c r="E122" s="202">
        <f t="shared" si="30"/>
        <v>0.042436999999999836</v>
      </c>
      <c r="F122" s="205">
        <v>0.34135859433798615</v>
      </c>
      <c r="G122" s="181">
        <v>460804.70199779473</v>
      </c>
      <c r="H122" s="204">
        <v>0.042436999999999836</v>
      </c>
      <c r="I122" s="25"/>
      <c r="J122" s="25"/>
      <c r="K122" s="5">
        <f t="shared" si="27"/>
        <v>0.3988004751464429</v>
      </c>
      <c r="L122" s="4">
        <f t="shared" si="26"/>
        <v>0</v>
      </c>
      <c r="M122" s="2">
        <f t="shared" si="28"/>
        <v>0</v>
      </c>
    </row>
    <row r="123" spans="1:13" ht="15.75" customHeight="1">
      <c r="A123" s="183">
        <f t="shared" si="25"/>
        <v>2093</v>
      </c>
      <c r="B123" s="199">
        <f t="shared" si="24"/>
        <v>0.3403602171710357</v>
      </c>
      <c r="C123" s="200">
        <f t="shared" si="20"/>
        <v>1411327.9017420758</v>
      </c>
      <c r="D123" s="201">
        <f t="shared" si="29"/>
        <v>480359.87113647506</v>
      </c>
      <c r="E123" s="202">
        <f t="shared" si="30"/>
        <v>0.042436999999999836</v>
      </c>
      <c r="F123" s="205">
        <v>0.34135859433798615</v>
      </c>
      <c r="G123" s="181">
        <v>480359.87113647506</v>
      </c>
      <c r="H123" s="204">
        <v>0.042436999999999836</v>
      </c>
      <c r="I123" s="25"/>
      <c r="J123" s="25"/>
      <c r="K123" s="5">
        <f t="shared" si="27"/>
        <v>0.3988004751464429</v>
      </c>
      <c r="L123" s="4">
        <f t="shared" si="26"/>
        <v>0</v>
      </c>
      <c r="M123" s="2">
        <f t="shared" si="28"/>
        <v>0</v>
      </c>
    </row>
    <row r="124" spans="1:13" ht="15.75" customHeight="1">
      <c r="A124" s="183">
        <f t="shared" si="25"/>
        <v>2094</v>
      </c>
      <c r="B124" s="199">
        <f t="shared" si="24"/>
        <v>0.3403602171710357</v>
      </c>
      <c r="C124" s="200">
        <f t="shared" si="20"/>
        <v>1471220.423908304</v>
      </c>
      <c r="D124" s="201">
        <f t="shared" si="29"/>
        <v>500744.90298789355</v>
      </c>
      <c r="E124" s="202">
        <f t="shared" si="30"/>
        <v>0.042436999999999836</v>
      </c>
      <c r="F124" s="205">
        <v>0.34135859433798615</v>
      </c>
      <c r="G124" s="181">
        <v>500744.90298789355</v>
      </c>
      <c r="H124" s="204">
        <v>0.042436999999999836</v>
      </c>
      <c r="I124" s="25"/>
      <c r="J124" s="25"/>
      <c r="K124" s="5">
        <f t="shared" si="27"/>
        <v>0.3988004751464429</v>
      </c>
      <c r="L124" s="4">
        <f t="shared" si="26"/>
        <v>0</v>
      </c>
      <c r="M124" s="2">
        <f t="shared" si="28"/>
        <v>0</v>
      </c>
    </row>
    <row r="125" spans="1:13" ht="15.75" customHeight="1">
      <c r="A125" s="183">
        <f t="shared" si="25"/>
        <v>2095</v>
      </c>
      <c r="B125" s="199">
        <f t="shared" si="24"/>
        <v>0.3403602171710357</v>
      </c>
      <c r="C125" s="200">
        <f t="shared" si="20"/>
        <v>1533654.6050377004</v>
      </c>
      <c r="D125" s="201">
        <f t="shared" si="29"/>
        <v>521995.0144359907</v>
      </c>
      <c r="E125" s="202">
        <f t="shared" si="30"/>
        <v>0.042436999999999836</v>
      </c>
      <c r="F125" s="205">
        <v>0.34135859433798615</v>
      </c>
      <c r="G125" s="181">
        <v>521995.0144359907</v>
      </c>
      <c r="H125" s="204">
        <v>0.042436999999999836</v>
      </c>
      <c r="I125" s="25"/>
      <c r="J125" s="25"/>
      <c r="K125" s="5">
        <f t="shared" si="27"/>
        <v>0.3988004751464429</v>
      </c>
      <c r="L125" s="4">
        <f t="shared" si="26"/>
        <v>0</v>
      </c>
      <c r="M125" s="2">
        <f t="shared" si="28"/>
        <v>0</v>
      </c>
    </row>
    <row r="126" spans="1:13" ht="15.75" customHeight="1">
      <c r="A126" s="183">
        <f t="shared" si="25"/>
        <v>2096</v>
      </c>
      <c r="B126" s="199">
        <f t="shared" si="24"/>
        <v>0.3403602171710357</v>
      </c>
      <c r="C126" s="200">
        <f t="shared" si="20"/>
        <v>1598738.305511685</v>
      </c>
      <c r="D126" s="201">
        <f t="shared" si="29"/>
        <v>544146.9168636107</v>
      </c>
      <c r="E126" s="202">
        <f t="shared" si="30"/>
        <v>0.042436999999999836</v>
      </c>
      <c r="F126" s="205">
        <v>0.34135859433798615</v>
      </c>
      <c r="G126" s="181">
        <v>544146.9168636107</v>
      </c>
      <c r="H126" s="204">
        <v>0.042436999999999836</v>
      </c>
      <c r="I126" s="25"/>
      <c r="J126" s="25"/>
      <c r="K126" s="5">
        <f t="shared" si="27"/>
        <v>0.3988004751464429</v>
      </c>
      <c r="L126" s="4">
        <f t="shared" si="26"/>
        <v>0</v>
      </c>
      <c r="M126" s="2">
        <f t="shared" si="28"/>
        <v>0</v>
      </c>
    </row>
    <row r="127" spans="1:13" ht="15.75" customHeight="1">
      <c r="A127" s="183">
        <f t="shared" si="25"/>
        <v>2097</v>
      </c>
      <c r="B127" s="199">
        <f t="shared" si="24"/>
        <v>0.3403602171710357</v>
      </c>
      <c r="C127" s="200">
        <f t="shared" si="20"/>
        <v>1666583.9629826841</v>
      </c>
      <c r="D127" s="201">
        <f t="shared" si="29"/>
        <v>567238.8795745517</v>
      </c>
      <c r="E127" s="202">
        <f t="shared" si="30"/>
        <v>0.042436999999999836</v>
      </c>
      <c r="F127" s="205">
        <v>0.34135859433798615</v>
      </c>
      <c r="G127" s="181">
        <v>567238.8795745517</v>
      </c>
      <c r="H127" s="204">
        <v>0.04243700000000006</v>
      </c>
      <c r="I127" s="25"/>
      <c r="J127" s="25"/>
      <c r="K127" s="5">
        <f t="shared" si="27"/>
        <v>0.3988004751464429</v>
      </c>
      <c r="L127" s="4">
        <f t="shared" si="26"/>
        <v>0</v>
      </c>
      <c r="M127" s="2">
        <f t="shared" si="28"/>
        <v>0</v>
      </c>
    </row>
    <row r="128" spans="1:13" ht="15.75" customHeight="1">
      <c r="A128" s="183">
        <f t="shared" si="25"/>
        <v>2098</v>
      </c>
      <c r="B128" s="199">
        <f t="shared" si="24"/>
        <v>0.3403602171710357</v>
      </c>
      <c r="C128" s="200">
        <f t="shared" si="20"/>
        <v>1737308.7866197801</v>
      </c>
      <c r="D128" s="201">
        <f t="shared" si="29"/>
        <v>591310.7959070569</v>
      </c>
      <c r="E128" s="202">
        <f t="shared" si="30"/>
        <v>0.042436999999999836</v>
      </c>
      <c r="F128" s="205">
        <v>0.34135859433798615</v>
      </c>
      <c r="G128" s="181">
        <v>591310.7959070569</v>
      </c>
      <c r="H128" s="204">
        <v>0.042436999999999614</v>
      </c>
      <c r="I128" s="25"/>
      <c r="J128" s="25"/>
      <c r="K128" s="5">
        <f t="shared" si="27"/>
        <v>0.3988004751464429</v>
      </c>
      <c r="L128" s="4">
        <f t="shared" si="26"/>
        <v>0</v>
      </c>
      <c r="M128" s="2">
        <f t="shared" si="28"/>
        <v>0</v>
      </c>
    </row>
    <row r="129" spans="1:13" ht="15.75" customHeight="1">
      <c r="A129" s="183">
        <f t="shared" si="25"/>
        <v>2099</v>
      </c>
      <c r="B129" s="199">
        <f t="shared" si="24"/>
        <v>0.3403602171710357</v>
      </c>
      <c r="C129" s="200">
        <f t="shared" si="20"/>
        <v>1811034.9595975634</v>
      </c>
      <c r="D129" s="201">
        <f t="shared" si="29"/>
        <v>616404.2521529646</v>
      </c>
      <c r="E129" s="202">
        <f t="shared" si="30"/>
        <v>0.042436999999999836</v>
      </c>
      <c r="F129" s="205">
        <v>0.34135859433798615</v>
      </c>
      <c r="G129" s="181">
        <v>616404.2521529646</v>
      </c>
      <c r="H129" s="204">
        <v>0.042436999999999836</v>
      </c>
      <c r="I129" s="25"/>
      <c r="J129" s="25"/>
      <c r="K129" s="5">
        <f t="shared" si="27"/>
        <v>0.3988004751464429</v>
      </c>
      <c r="L129" s="4">
        <f t="shared" si="26"/>
        <v>0</v>
      </c>
      <c r="M129" s="2">
        <f t="shared" si="28"/>
        <v>0</v>
      </c>
    </row>
    <row r="130" spans="1:13" ht="15.75" customHeight="1">
      <c r="A130" s="183">
        <f t="shared" si="25"/>
        <v>2100</v>
      </c>
      <c r="B130" s="199">
        <f t="shared" si="24"/>
        <v>0.3403602171710357</v>
      </c>
      <c r="C130" s="200">
        <f t="shared" si="20"/>
        <v>1887889.8501780047</v>
      </c>
      <c r="D130" s="201">
        <f t="shared" si="29"/>
        <v>642562.5994015797</v>
      </c>
      <c r="E130" s="202">
        <f t="shared" si="30"/>
        <v>0.042436999999999614</v>
      </c>
      <c r="F130" s="205">
        <v>0.34135859433798615</v>
      </c>
      <c r="G130" s="181">
        <v>642562.5994015797</v>
      </c>
      <c r="H130" s="204">
        <v>0.042436999999999836</v>
      </c>
      <c r="I130" s="25"/>
      <c r="J130" s="25"/>
      <c r="K130" s="5">
        <f t="shared" si="27"/>
        <v>0.3988004751464429</v>
      </c>
      <c r="L130" s="4">
        <f t="shared" si="26"/>
        <v>0</v>
      </c>
      <c r="M130" s="2">
        <f t="shared" si="28"/>
        <v>0</v>
      </c>
    </row>
    <row r="131" spans="1:13" ht="15.75" customHeight="1">
      <c r="A131" s="217">
        <f t="shared" si="25"/>
        <v>2101</v>
      </c>
      <c r="B131" s="218">
        <f t="shared" si="24"/>
        <v>0.3403602171710357</v>
      </c>
      <c r="C131" s="219">
        <f>+C130*(1+E$6)*(1+D$6)</f>
        <v>1968006.2317500084</v>
      </c>
      <c r="D131" s="220">
        <f t="shared" si="29"/>
        <v>669831.0284323845</v>
      </c>
      <c r="E131" s="221">
        <f t="shared" si="30"/>
        <v>0.042436999999999836</v>
      </c>
      <c r="F131" s="222">
        <v>0.34135859433798615</v>
      </c>
      <c r="G131" s="223">
        <v>669831.0284323845</v>
      </c>
      <c r="H131" s="224">
        <v>0.042436999999999836</v>
      </c>
      <c r="I131" s="157"/>
      <c r="J131" s="25"/>
      <c r="K131" s="5">
        <f t="shared" si="27"/>
        <v>0.3988004751464429</v>
      </c>
      <c r="L131" s="4">
        <f t="shared" si="26"/>
        <v>0</v>
      </c>
      <c r="M131" s="2">
        <f t="shared" si="28"/>
        <v>0</v>
      </c>
    </row>
  </sheetData>
  <sheetProtection password="DF35" sheet="1"/>
  <mergeCells count="2">
    <mergeCell ref="A1:G1"/>
    <mergeCell ref="A2:G2"/>
  </mergeCells>
  <printOptions/>
  <pageMargins left="0.75" right="0.75" top="1" bottom="1" header="0.5" footer="0.5"/>
  <pageSetup fitToHeight="1" fitToWidth="1"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Getzen</dc:creator>
  <cp:keywords/>
  <dc:description/>
  <cp:lastModifiedBy>SOA USER</cp:lastModifiedBy>
  <dcterms:created xsi:type="dcterms:W3CDTF">2010-04-23T17:27:37Z</dcterms:created>
  <dcterms:modified xsi:type="dcterms:W3CDTF">2012-04-24T19:12:07Z</dcterms:modified>
  <cp:category/>
  <cp:version/>
  <cp:contentType/>
  <cp:contentStatus/>
</cp:coreProperties>
</file>