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65" windowWidth="14805" windowHeight="7950"/>
  </bookViews>
  <sheets>
    <sheet name="Notes" sheetId="18" r:id="rId1"/>
    <sheet name="Input" sheetId="9" r:id="rId2"/>
    <sheet name="Factors" sheetId="5" r:id="rId3"/>
    <sheet name="ARO" sheetId="10" r:id="rId4"/>
    <sheet name="Benchmark" sheetId="2" r:id="rId5"/>
    <sheet name="PBRRating" sheetId="14" r:id="rId6"/>
    <sheet name="StartDefault" sheetId="15" r:id="rId7"/>
    <sheet name="ReinvestDefaultSpread" sheetId="16" r:id="rId8"/>
    <sheet name="WithoutNAICDesignation" sheetId="17" r:id="rId9"/>
  </sheets>
  <definedNames>
    <definedName name="AROTable">ARO!$A$4:$I$23</definedName>
    <definedName name="BaselineFactor">Factors!$B$6:$K$25</definedName>
    <definedName name="CurrentSpreadFactor">Factors!$B$33:$U$62</definedName>
    <definedName name="LongtermSpreadFactor">Factors!$B$70:$U$99</definedName>
    <definedName name="NAIC_PBR">PBRRating!$A$5:$B$10</definedName>
    <definedName name="SwapSpreadFactor">Factors!$A$106:$C$137</definedName>
  </definedNames>
  <calcPr calcId="145621"/>
</workbook>
</file>

<file path=xl/calcChain.xml><?xml version="1.0" encoding="utf-8"?>
<calcChain xmlns="http://schemas.openxmlformats.org/spreadsheetml/2006/main">
  <c r="C15" i="16" l="1"/>
  <c r="B15" i="16"/>
  <c r="C14" i="16"/>
  <c r="B14" i="16"/>
  <c r="C13" i="16"/>
  <c r="B13" i="16"/>
  <c r="C12" i="16"/>
  <c r="B12" i="16"/>
  <c r="D12" i="16" s="1"/>
  <c r="C11" i="16"/>
  <c r="B11" i="16"/>
  <c r="C10" i="16"/>
  <c r="B10" i="16"/>
  <c r="C9" i="16"/>
  <c r="B9" i="16"/>
  <c r="D9" i="16" s="1"/>
  <c r="C8" i="16"/>
  <c r="B8" i="16"/>
  <c r="D8" i="16" s="1"/>
  <c r="D10" i="16" l="1"/>
  <c r="K10" i="16" s="1"/>
  <c r="F14" i="16"/>
  <c r="O14" i="16" s="1"/>
  <c r="D11" i="16"/>
  <c r="K11" i="16" s="1"/>
  <c r="D15" i="16"/>
  <c r="K15" i="16" s="1"/>
  <c r="F13" i="16"/>
  <c r="O13" i="16" s="1"/>
  <c r="F15" i="16"/>
  <c r="O15" i="16" s="1"/>
  <c r="F10" i="16"/>
  <c r="O10" i="16" s="1"/>
  <c r="E12" i="16"/>
  <c r="F11" i="16"/>
  <c r="O11" i="16" s="1"/>
  <c r="F9" i="16"/>
  <c r="O9" i="16" s="1"/>
  <c r="E11" i="16"/>
  <c r="L11" i="16" s="1"/>
  <c r="E15" i="16"/>
  <c r="L15" i="16" s="1"/>
  <c r="D14" i="16"/>
  <c r="K14" i="16" s="1"/>
  <c r="E14" i="16"/>
  <c r="E8" i="16"/>
  <c r="F8" i="16"/>
  <c r="O8" i="16" s="1"/>
  <c r="K12" i="16"/>
  <c r="K9" i="16"/>
  <c r="K8" i="16"/>
  <c r="F12" i="16"/>
  <c r="O12" i="16" s="1"/>
  <c r="E10" i="16"/>
  <c r="E9" i="16"/>
  <c r="D13" i="16"/>
  <c r="E13" i="16"/>
  <c r="N11" i="16" l="1"/>
  <c r="M15" i="16"/>
  <c r="G12" i="16"/>
  <c r="J12" i="16" s="1"/>
  <c r="L12" i="16"/>
  <c r="M12" i="16" s="1"/>
  <c r="G11" i="16"/>
  <c r="J11" i="16" s="1"/>
  <c r="N15" i="16"/>
  <c r="G8" i="16"/>
  <c r="I8" i="16" s="1"/>
  <c r="L8" i="16"/>
  <c r="M11" i="16"/>
  <c r="G15" i="16"/>
  <c r="J15" i="16" s="1"/>
  <c r="G14" i="16"/>
  <c r="L14" i="16"/>
  <c r="L13" i="16"/>
  <c r="G13" i="16"/>
  <c r="H13" i="16" s="1"/>
  <c r="G10" i="16"/>
  <c r="L10" i="16"/>
  <c r="K13" i="16"/>
  <c r="G9" i="16"/>
  <c r="L9" i="16"/>
  <c r="N8" i="16" l="1"/>
  <c r="N12" i="16"/>
  <c r="I12" i="16"/>
  <c r="J13" i="16"/>
  <c r="H12" i="16"/>
  <c r="I11" i="16"/>
  <c r="I13" i="16"/>
  <c r="H8" i="16"/>
  <c r="M8" i="16"/>
  <c r="H11" i="16"/>
  <c r="J8" i="16"/>
  <c r="I15" i="16"/>
  <c r="H15" i="16"/>
  <c r="N14" i="16"/>
  <c r="M14" i="16"/>
  <c r="I14" i="16"/>
  <c r="J14" i="16"/>
  <c r="H14" i="16"/>
  <c r="N13" i="16"/>
  <c r="M13" i="16"/>
  <c r="N9" i="16"/>
  <c r="M9" i="16"/>
  <c r="J9" i="16"/>
  <c r="I9" i="16"/>
  <c r="H9" i="16"/>
  <c r="N10" i="16"/>
  <c r="M10" i="16"/>
  <c r="H10" i="16"/>
  <c r="J10" i="16"/>
  <c r="I10" i="16"/>
  <c r="C7" i="16" l="1"/>
  <c r="C6" i="16"/>
  <c r="C5" i="16"/>
  <c r="C12" i="15"/>
  <c r="C11" i="15"/>
  <c r="C10" i="15"/>
  <c r="C9" i="15"/>
  <c r="C8" i="15"/>
  <c r="C7" i="15"/>
  <c r="B7" i="16"/>
  <c r="E7" i="16" s="1"/>
  <c r="L7" i="16" s="1"/>
  <c r="B6" i="16"/>
  <c r="B5" i="16"/>
  <c r="A6" i="2"/>
  <c r="A6" i="16" s="1"/>
  <c r="M6" i="9"/>
  <c r="D7" i="17"/>
  <c r="E7" i="17" s="1"/>
  <c r="I12" i="15"/>
  <c r="C19" i="14"/>
  <c r="B19" i="14"/>
  <c r="C18" i="14"/>
  <c r="B18" i="14"/>
  <c r="C17" i="14"/>
  <c r="B17" i="14"/>
  <c r="C16" i="14"/>
  <c r="B16" i="14"/>
  <c r="C15" i="14"/>
  <c r="B15" i="14"/>
  <c r="E19" i="14"/>
  <c r="F19" i="14" s="1"/>
  <c r="C11" i="9" s="1"/>
  <c r="B12" i="15" s="1"/>
  <c r="E18" i="14"/>
  <c r="E17" i="14"/>
  <c r="E16" i="14"/>
  <c r="E15" i="14"/>
  <c r="E14" i="14"/>
  <c r="A7" i="9"/>
  <c r="A8" i="9" s="1"/>
  <c r="A9" i="9" s="1"/>
  <c r="B6" i="15"/>
  <c r="A7" i="15"/>
  <c r="A8" i="15"/>
  <c r="I7" i="15"/>
  <c r="I8" i="15"/>
  <c r="I11" i="15"/>
  <c r="I10" i="15"/>
  <c r="I9" i="15"/>
  <c r="D12" i="15" l="1"/>
  <c r="E12" i="15"/>
  <c r="E6" i="15"/>
  <c r="F12" i="15"/>
  <c r="C6" i="15"/>
  <c r="F6" i="15" s="1"/>
  <c r="D5" i="16"/>
  <c r="A5" i="16"/>
  <c r="E6" i="16"/>
  <c r="E5" i="16"/>
  <c r="F7" i="16"/>
  <c r="O7" i="16" s="1"/>
  <c r="F5" i="16"/>
  <c r="F6" i="16"/>
  <c r="D6" i="16"/>
  <c r="D7" i="16"/>
  <c r="K7" i="16" s="1"/>
  <c r="A7" i="2"/>
  <c r="A7" i="16" s="1"/>
  <c r="D19" i="14"/>
  <c r="A10" i="9"/>
  <c r="A17" i="14"/>
  <c r="A16" i="14"/>
  <c r="A15" i="14"/>
  <c r="A14" i="14"/>
  <c r="A10" i="15"/>
  <c r="A9" i="15"/>
  <c r="C14" i="14"/>
  <c r="B14" i="14"/>
  <c r="D6" i="15" l="1"/>
  <c r="G6" i="15" s="1"/>
  <c r="H6" i="15" s="1"/>
  <c r="M7" i="16"/>
  <c r="N7" i="16"/>
  <c r="G6" i="16"/>
  <c r="G7" i="16"/>
  <c r="I7" i="16" s="1"/>
  <c r="A8" i="2"/>
  <c r="A11" i="15"/>
  <c r="A11" i="9"/>
  <c r="A18" i="14"/>
  <c r="D14" i="14"/>
  <c r="F14" i="14" s="1"/>
  <c r="C6" i="9" s="1"/>
  <c r="B7" i="15" s="1"/>
  <c r="D18" i="14"/>
  <c r="F18" i="14" s="1"/>
  <c r="C10" i="9" s="1"/>
  <c r="B11" i="15" s="1"/>
  <c r="D15" i="14"/>
  <c r="F15" i="14" s="1"/>
  <c r="C7" i="9" s="1"/>
  <c r="B8" i="15" s="1"/>
  <c r="D16" i="14"/>
  <c r="F16" i="14" s="1"/>
  <c r="C8" i="9" s="1"/>
  <c r="B9" i="15" s="1"/>
  <c r="D17" i="14"/>
  <c r="F17" i="14" s="1"/>
  <c r="C9" i="9" s="1"/>
  <c r="B10" i="15" s="1"/>
  <c r="A19" i="14" l="1"/>
  <c r="A12" i="15"/>
  <c r="D7" i="15"/>
  <c r="E7" i="15"/>
  <c r="F7" i="15"/>
  <c r="A8" i="16"/>
  <c r="A9" i="2"/>
  <c r="J7" i="16"/>
  <c r="H7" i="16"/>
  <c r="C5" i="5"/>
  <c r="D5" i="5" s="1"/>
  <c r="E5" i="5" s="1"/>
  <c r="F5" i="5" s="1"/>
  <c r="G5" i="5" s="1"/>
  <c r="H5" i="5" s="1"/>
  <c r="I5" i="5" s="1"/>
  <c r="J5" i="5" s="1"/>
  <c r="K5" i="5" s="1"/>
  <c r="A10" i="2" l="1"/>
  <c r="A9" i="16"/>
  <c r="D11" i="15"/>
  <c r="O11" i="15" s="1"/>
  <c r="F11" i="15"/>
  <c r="E11" i="15"/>
  <c r="E10" i="15"/>
  <c r="D10" i="15"/>
  <c r="O10" i="15" s="1"/>
  <c r="F10" i="15"/>
  <c r="F9" i="15"/>
  <c r="E9" i="15"/>
  <c r="D9" i="15"/>
  <c r="D8" i="15"/>
  <c r="E8" i="15"/>
  <c r="F8" i="15"/>
  <c r="K6" i="16"/>
  <c r="G12" i="15"/>
  <c r="H12" i="15" s="1"/>
  <c r="O12" i="15"/>
  <c r="K5" i="16"/>
  <c r="O5" i="16"/>
  <c r="L6" i="16"/>
  <c r="O6" i="16"/>
  <c r="G11" i="15" l="1"/>
  <c r="H11" i="15" s="1"/>
  <c r="G9" i="15"/>
  <c r="H9" i="15" s="1"/>
  <c r="A11" i="2"/>
  <c r="A10" i="16"/>
  <c r="G5" i="16"/>
  <c r="L5" i="16"/>
  <c r="M6" i="16"/>
  <c r="N6" i="16"/>
  <c r="O9" i="15"/>
  <c r="G10" i="15"/>
  <c r="H10" i="15" s="1"/>
  <c r="G7" i="15"/>
  <c r="H7" i="15" s="1"/>
  <c r="G8" i="15"/>
  <c r="H8" i="15" s="1"/>
  <c r="O8" i="15"/>
  <c r="O7" i="15"/>
  <c r="A12" i="2" l="1"/>
  <c r="A11" i="16"/>
  <c r="I6" i="16"/>
  <c r="J6" i="16"/>
  <c r="H6" i="16"/>
  <c r="M5" i="16"/>
  <c r="N5" i="16"/>
  <c r="J6" i="15"/>
  <c r="K6" i="15" s="1"/>
  <c r="H5" i="16"/>
  <c r="J5" i="16"/>
  <c r="I5" i="16"/>
  <c r="A13" i="2" l="1"/>
  <c r="A12" i="16"/>
  <c r="N10" i="15"/>
  <c r="L12" i="15"/>
  <c r="N12" i="15"/>
  <c r="M12" i="15"/>
  <c r="L11" i="15"/>
  <c r="L10" i="15"/>
  <c r="L9" i="15"/>
  <c r="M7" i="15"/>
  <c r="N7" i="15"/>
  <c r="M11" i="15"/>
  <c r="L7" i="15"/>
  <c r="M9" i="15"/>
  <c r="N8" i="15"/>
  <c r="N11" i="15"/>
  <c r="M8" i="15"/>
  <c r="N9" i="15"/>
  <c r="M10" i="15"/>
  <c r="L8" i="15"/>
  <c r="A71" i="5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34" i="5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14" i="2" l="1"/>
  <c r="A13" i="16"/>
  <c r="A15" i="2" l="1"/>
  <c r="A15" i="16" s="1"/>
  <c r="A14" i="16"/>
</calcChain>
</file>

<file path=xl/comments1.xml><?xml version="1.0" encoding="utf-8"?>
<comments xmlns="http://schemas.openxmlformats.org/spreadsheetml/2006/main">
  <authors>
    <author>Author</author>
  </authors>
  <commentList>
    <comment ref="B4" authorId="0">
      <text>
        <r>
          <rPr>
            <sz val="9"/>
            <color indexed="81"/>
            <rFont val="Tahoma"/>
            <family val="2"/>
          </rPr>
          <t>second least favorable PBR credit rating associated with the NAIC designation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<sst xmlns="http://schemas.openxmlformats.org/spreadsheetml/2006/main" count="396" uniqueCount="216">
  <si>
    <t>Aaa</t>
  </si>
  <si>
    <t>Aa1</t>
  </si>
  <si>
    <t>Aa2</t>
  </si>
  <si>
    <t>Aa3</t>
  </si>
  <si>
    <t>A1</t>
  </si>
  <si>
    <t>A2</t>
  </si>
  <si>
    <t>A3</t>
  </si>
  <si>
    <t>Baa1</t>
  </si>
  <si>
    <t>Baa2</t>
  </si>
  <si>
    <t>Baa3</t>
  </si>
  <si>
    <t>Ba1</t>
  </si>
  <si>
    <t>Ba2</t>
  </si>
  <si>
    <t>Ba3</t>
  </si>
  <si>
    <t>B1</t>
  </si>
  <si>
    <t>B2</t>
  </si>
  <si>
    <t>B3</t>
  </si>
  <si>
    <t>Caa1</t>
  </si>
  <si>
    <t>Caa2</t>
  </si>
  <si>
    <t>Caa3</t>
  </si>
  <si>
    <t>Ca</t>
  </si>
  <si>
    <t>Aa1/AA+</t>
  </si>
  <si>
    <t>Aa2/AA</t>
  </si>
  <si>
    <t>Aa3/AA-</t>
  </si>
  <si>
    <t>A1/A+</t>
  </si>
  <si>
    <t>A2/A</t>
  </si>
  <si>
    <t>A3/A-</t>
  </si>
  <si>
    <t>Baa1/BBB+</t>
  </si>
  <si>
    <t>Baa2/BBB</t>
  </si>
  <si>
    <t>Baa3/BBB-</t>
  </si>
  <si>
    <t>Ba1/BB+</t>
  </si>
  <si>
    <t>Ba2/BB</t>
  </si>
  <si>
    <t>Ba3/BB-</t>
  </si>
  <si>
    <t>B1/B+</t>
  </si>
  <si>
    <t>B2/B</t>
  </si>
  <si>
    <t>B3/B-</t>
  </si>
  <si>
    <t>Caa1/CCC+</t>
  </si>
  <si>
    <t>Caa2/CCC</t>
  </si>
  <si>
    <t>Caa3/CCC-</t>
  </si>
  <si>
    <t>Ca/CC</t>
  </si>
  <si>
    <t>Current</t>
  </si>
  <si>
    <t>Long Term</t>
  </si>
  <si>
    <t>3M</t>
  </si>
  <si>
    <t>6M</t>
  </si>
  <si>
    <t>WAL</t>
  </si>
  <si>
    <t>WAL (Weighted Average Life)</t>
  </si>
  <si>
    <t>VM-20 Default Costs and Spreads</t>
  </si>
  <si>
    <t>AAA</t>
  </si>
  <si>
    <t>AA</t>
  </si>
  <si>
    <t>A</t>
  </si>
  <si>
    <t>BBB</t>
  </si>
  <si>
    <t>Allocation</t>
  </si>
  <si>
    <t>Moody's Rating</t>
  </si>
  <si>
    <t>S&amp;P Rating</t>
  </si>
  <si>
    <t>AA+</t>
  </si>
  <si>
    <t>AA-</t>
  </si>
  <si>
    <t>A+</t>
  </si>
  <si>
    <t>A-</t>
  </si>
  <si>
    <t>BBB+</t>
  </si>
  <si>
    <t>BBB-</t>
  </si>
  <si>
    <t>Fitch Rating</t>
  </si>
  <si>
    <t>DBRS Rating</t>
  </si>
  <si>
    <t>AA high</t>
  </si>
  <si>
    <t>AA low</t>
  </si>
  <si>
    <t>A high</t>
  </si>
  <si>
    <t>A low</t>
  </si>
  <si>
    <t>BBB high</t>
  </si>
  <si>
    <t>BBB low</t>
  </si>
  <si>
    <t>RealPoint Rating</t>
  </si>
  <si>
    <t>AM Best Rating</t>
  </si>
  <si>
    <t>aaa</t>
  </si>
  <si>
    <t>aa+</t>
  </si>
  <si>
    <t>aa</t>
  </si>
  <si>
    <t>aa-</t>
  </si>
  <si>
    <t>a+</t>
  </si>
  <si>
    <t>a</t>
  </si>
  <si>
    <t>a-</t>
  </si>
  <si>
    <t>bbb+</t>
  </si>
  <si>
    <t>bbb</t>
  </si>
  <si>
    <t>bbb-</t>
  </si>
  <si>
    <t>NAIC Designation</t>
  </si>
  <si>
    <t>Numeric Rating</t>
  </si>
  <si>
    <t>BB+</t>
  </si>
  <si>
    <t>BB</t>
  </si>
  <si>
    <t>BB-</t>
  </si>
  <si>
    <t>B+</t>
  </si>
  <si>
    <t>B</t>
  </si>
  <si>
    <t>B-</t>
  </si>
  <si>
    <t>CCC+</t>
  </si>
  <si>
    <t>CCC</t>
  </si>
  <si>
    <t>CCC-</t>
  </si>
  <si>
    <t>CC</t>
  </si>
  <si>
    <t>BB high</t>
  </si>
  <si>
    <t>BB low</t>
  </si>
  <si>
    <t>B high</t>
  </si>
  <si>
    <t>B low</t>
  </si>
  <si>
    <t>CCC high</t>
  </si>
  <si>
    <t>CCC low</t>
  </si>
  <si>
    <t>bb+</t>
  </si>
  <si>
    <t>bb</t>
  </si>
  <si>
    <t>bb-</t>
  </si>
  <si>
    <t>b+</t>
  </si>
  <si>
    <t>b</t>
  </si>
  <si>
    <t>b-</t>
  </si>
  <si>
    <t>ccc+</t>
  </si>
  <si>
    <t>ccc</t>
  </si>
  <si>
    <t>ccc-</t>
  </si>
  <si>
    <t>cc</t>
  </si>
  <si>
    <t>CML</t>
  </si>
  <si>
    <t>Current Market Benchmark Spreads for Bonds (Tables F and G)</t>
  </si>
  <si>
    <t>Long-Term Benchmark Spreads for Bonds (Tables H and I)</t>
  </si>
  <si>
    <t>Prescribed Baseline Annual Default Costs (in bps) (Table A)</t>
  </si>
  <si>
    <t>Swap Spreads (Table J)</t>
  </si>
  <si>
    <t xml:space="preserve">Investment Grade PBR Credit Rating </t>
  </si>
  <si>
    <t>(Weighted</t>
  </si>
  <si>
    <t>Ave Life)</t>
  </si>
  <si>
    <t>Aaa/AAA</t>
  </si>
  <si>
    <t xml:space="preserve">Below Investment Grade PBR Credit Rating </t>
  </si>
  <si>
    <t>Average Life)</t>
  </si>
  <si>
    <t xml:space="preserve">(Weighted </t>
  </si>
  <si>
    <t xml:space="preserve">                                                                    Below Investment Grade PBR Credit Rating</t>
  </si>
  <si>
    <t xml:space="preserve">                                                                             Investment Grade PBR Credit Rating</t>
  </si>
  <si>
    <t>Weighted</t>
  </si>
  <si>
    <t>Average Life</t>
  </si>
  <si>
    <t>Swap Spread</t>
  </si>
  <si>
    <t>NAIC Commercial Mortgage Designation</t>
  </si>
  <si>
    <t>Table K.  Conversion from NAIC ARO Ratings and NAIC Designations to PBR Numeric Rating</t>
  </si>
  <si>
    <t>PBR Credit Rating</t>
  </si>
  <si>
    <t>Table F (12/31/2015)  Investment Grade Current Spreads</t>
  </si>
  <si>
    <t>Table G (12/31/2015)</t>
  </si>
  <si>
    <t>Table H (12/31/2015) Investment Grade Long Term Spreads</t>
  </si>
  <si>
    <t>Table I (12/31/2015)  Below Investment Grade Long Term Spreads</t>
  </si>
  <si>
    <t>Table J (12/31/2015) Swap Spreads</t>
  </si>
  <si>
    <t>INPUTS</t>
  </si>
  <si>
    <t>AssetInformation (Inventory)</t>
  </si>
  <si>
    <t>AssetCusip</t>
  </si>
  <si>
    <t>Investment Expense</t>
  </si>
  <si>
    <t>OAS</t>
  </si>
  <si>
    <t>Moody's</t>
  </si>
  <si>
    <t>S&amp;P</t>
  </si>
  <si>
    <t>Type</t>
  </si>
  <si>
    <t>Bond</t>
  </si>
  <si>
    <t>Reinvestment Benchmark</t>
  </si>
  <si>
    <t>S&amp;P PBR Credit Rating</t>
  </si>
  <si>
    <t>IF no ARO Ratings</t>
  </si>
  <si>
    <t>Baseline</t>
  </si>
  <si>
    <t>Current Benchmark Spread</t>
  </si>
  <si>
    <t>Long-term Benchmark Spread</t>
  </si>
  <si>
    <t>Statement Value</t>
  </si>
  <si>
    <t>Asset Weight</t>
  </si>
  <si>
    <t>Hypothetical Asset</t>
  </si>
  <si>
    <t>Hypothetical</t>
  </si>
  <si>
    <t>Year 1</t>
  </si>
  <si>
    <t>Year 2</t>
  </si>
  <si>
    <t>Year 3</t>
  </si>
  <si>
    <t>Default Assumption</t>
  </si>
  <si>
    <t>Year 4+</t>
  </si>
  <si>
    <t>Preliminary Year 1 Net Spread</t>
  </si>
  <si>
    <t>Model Segment Preliminary Year 1 Net Spread</t>
  </si>
  <si>
    <t>Asset Preliminary Year 1 Net Spread</t>
  </si>
  <si>
    <t>Year 1 Spread Related Factor</t>
  </si>
  <si>
    <t>Non-callable public bonds and commercial mortgage loans</t>
  </si>
  <si>
    <t>Applicable Historical Yield</t>
  </si>
  <si>
    <t>Starting Asset Default Assumption - With NAIC Designation</t>
  </si>
  <si>
    <t>Bond PBR Credit Rating</t>
  </si>
  <si>
    <t>CML PBR Credit Rating</t>
  </si>
  <si>
    <t>Reinvestment Starting Asset Default Assumption</t>
  </si>
  <si>
    <t>Spread Assumption</t>
  </si>
  <si>
    <t>Default</t>
  </si>
  <si>
    <t>Input</t>
  </si>
  <si>
    <t>Calculation</t>
  </si>
  <si>
    <t>Default Assumption - With NAIC Designation</t>
  </si>
  <si>
    <t>Benchmark</t>
  </si>
  <si>
    <t>Benchmark Cusip</t>
  </si>
  <si>
    <t>Output</t>
  </si>
  <si>
    <t>Moody's PBR Credit Rating</t>
  </si>
  <si>
    <t>Year 1 Maximum Net Spread Adjustment Factor</t>
  </si>
  <si>
    <t>Capped Net Spread</t>
  </si>
  <si>
    <t>Expense</t>
  </si>
  <si>
    <t>Copyright © 2015 Actuarial Compass LLC. All Rights Reserved</t>
  </si>
  <si>
    <t>Worksheet Tab = Input</t>
  </si>
  <si>
    <t>Worksheet Tabs = Factors and ARO</t>
  </si>
  <si>
    <t>This worksheet provides the VM tables containing parameters relevant to asset default and spread assumptions, namely Tables A, F, G, H, I, J, and K.</t>
  </si>
  <si>
    <t>Worksheet Tabs = Benchmark</t>
  </si>
  <si>
    <t xml:space="preserve">This worksheet specifies the benchmark used for the reinvestment strategy. The benchmark is static and consists of 11 assets. </t>
  </si>
  <si>
    <t>Worksheet Tab = PBRRating</t>
  </si>
  <si>
    <t>Worksheet Tab = StartDefault</t>
  </si>
  <si>
    <t>Worksheet Tab = ReinvestDefaultSpread</t>
  </si>
  <si>
    <r>
      <t xml:space="preserve">This spreadsheet was adapted from an online course, </t>
    </r>
    <r>
      <rPr>
        <i/>
        <sz val="12"/>
        <color indexed="8"/>
        <rFont val="Calibri"/>
        <family val="2"/>
      </rPr>
      <t>PBA Training*</t>
    </r>
    <r>
      <rPr>
        <sz val="12"/>
        <color indexed="8"/>
        <rFont val="Calibri"/>
        <family val="2"/>
      </rPr>
      <t xml:space="preserve">. The spreadsheet illustrates a VM calculation and is not intended for uses or purposes other than providing an illustration for educational purposes. It is not a program, it does not possess flexibility, it does not address all possible situations and parameters, and it is not meant to suggest how to implement or validate VM calculations. </t>
    </r>
  </si>
  <si>
    <r>
      <t xml:space="preserve">* Actuarial Compass, </t>
    </r>
    <r>
      <rPr>
        <i/>
        <sz val="12"/>
        <color indexed="8"/>
        <rFont val="Calibri"/>
        <family val="2"/>
      </rPr>
      <t>PBA Training I and II</t>
    </r>
    <r>
      <rPr>
        <sz val="12"/>
        <color indexed="8"/>
        <rFont val="Calibri"/>
        <family val="2"/>
      </rPr>
      <t>. Retrieved moodle.actuarialcompass.com December 2015.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</si>
  <si>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Cells A5..J11 contain information on an asset portfolio consisting of six assets. 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</si>
  <si>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Cells L5..O6 contain information on a hypothetical asset per VM-20. 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</si>
  <si>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The rating (Cell N6) and expense rate (O6) are prescribed. 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</si>
  <si>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The hypothetical asset’s WAL is the portfolio’s weighted average WAL.</t>
    </r>
  </si>
  <si>
    <t xml:space="preserve">This worksheet uses the ARO crediting (Moody’s and S&amp;P’s) and Table K in the ARO tab to determine each assets PBR credit rating.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</si>
  <si>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Cells A3..B10 calculate the PBR credit rating if the asset does not have an ARO rating – the PBR credit rating is the second least favorable PBR credit rating associated with the NAIC designation. 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</si>
  <si>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Cells A12..F19 uses the table in the ARO tab to determine the PBR credit rating for each of Moody’s (Col B) and S&amp;P’s (Col C). 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</si>
  <si>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 D uses the average of Column B and C if the asset has at least one ARO rating otherwise the PBR credit rating from Cells A3..B10 is used. 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</si>
  <si>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Column F determines the credit rating based on whether the asset is a bond (Col D) or commercial mortgage loan (Col E).</t>
    </r>
  </si>
  <si>
    <t xml:space="preserve">This worksheet calculates default rates for the six starting assets.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</si>
  <si>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Columns B and C retrieve information from the Input tab. 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</si>
  <si>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Columns D-F lookup the rates in the corresponding tables in the Factors tab. 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</si>
  <si>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 G calculates the Year 1 Spread Related Factor which equals 25% of the difference between current over the long-term benchmark spread - there are two constraints, it cannot be less than the negative of the baseline spread nor more than twice the baseline spread. 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</si>
  <si>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 I calculates weights which are equal to the statement value times min(3, asset’s WAL). 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</si>
  <si>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 J6, the Model Segment Preliminary Year 1 Net Spread, is a weighted average of the Year 1 Spread Related Factors. 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</si>
  <si>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 K6, the Year 1 Maximum Net Spread Adjustment Factor, is the difference of Model Segment Preliminary Year 1 Net Spread less the hypothetical asset’s Year 1 Spread Related Factor, but not less than zero. 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</si>
  <si>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 L calculates the projection year 1 default rate for each asset, which equals the baseline rate the Year 1 Spread Related Factor plus Year 1 Maximum Net Spread Adjustment Factor. 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</si>
  <si>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 O calculates the projection year 4 default rate for each asset, which equals the baseline rate. </t>
    </r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</si>
  <si>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Columns M-N calculate the projection years 2-3 default rates for each asset, which grade linearly between years 1 and 4.</t>
    </r>
  </si>
  <si>
    <t xml:space="preserve">This worksheet calculates default and spread rates for the 11 benchmark assets.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</si>
  <si>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Columns A-K are the same as the StartDefault tab calculations except there is no hypothetical asset, Year 1 Maximum Net Spread Adjustment Factor, or Preliminary Year 1 Net Spread. 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</si>
  <si>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 L is the asset’s projection year 1 spread assumption which equals the current benchmark spread. 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</si>
  <si>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 O is the asset’s projection year 4 spread assumption which equals the long-term benchmark spread. 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</si>
  <si>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Columns M-N calculate the projection years 2-3 spread rates for each asset, which grade linearly between years 1 and 4.</t>
    </r>
  </si>
  <si>
    <t xml:space="preserve">This worksheet calculates rates for assets without an NAIC designation. VM-20 specifies that for fixed income assets without an NAIC designation the default rate is such that the net yield is capped at 104% of applicable historical U.S. Treasury yield rate plus 25 basis points.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</si>
  <si>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Columns A-C contain the required inputs. 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</si>
  <si>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Column D calculates the capped net spread and Column E the default rate.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</si>
</sst>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"/>
    <numFmt numFmtId="167" formatCode="0.0"/>
    <numFmt numFmtId="168" formatCode="_(* #,##0.00000_);_(* \(#,##0.00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color indexed="8"/>
      <name val="Helv"/>
    </font>
    <font>
      <sz val="11"/>
      <color indexed="8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2"/>
      <color rgb="FFC00000"/>
      <name val="Calibri"/>
      <family val="2"/>
      <scheme val="minor"/>
    </font>
    <font>
      <sz val="10"/>
      <color rgb="FF74600A"/>
      <name val="Georgia"/>
      <family val="1"/>
    </font>
    <font>
      <sz val="12"/>
      <color theme="1"/>
      <name val="Calibri"/>
      <family val="2"/>
      <scheme val="minor"/>
    </font>
    <font>
      <i/>
      <sz val="12"/>
      <color indexed="8"/>
      <name val="Calibri"/>
      <family val="2"/>
    </font>
    <font>
      <sz val="12"/>
      <color indexed="8"/>
      <name val="Calibri"/>
      <family val="2"/>
    </font>
    <font>
      <sz val="7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</cellStyleXfs>
  <cellXfs count="12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1" applyNumberFormat="1" applyFont="1"/>
    <xf numFmtId="0" fontId="7" fillId="0" borderId="0" xfId="0" applyFont="1"/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8" fillId="0" borderId="0" xfId="0" applyFont="1"/>
    <xf numFmtId="0" fontId="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2" fontId="10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/>
    </xf>
    <xf numFmtId="0" fontId="2" fillId="0" borderId="0" xfId="0" applyFont="1" applyFill="1" applyBorder="1"/>
    <xf numFmtId="0" fontId="0" fillId="0" borderId="0" xfId="0" applyFont="1" applyFill="1" applyBorder="1"/>
    <xf numFmtId="43" fontId="13" fillId="0" borderId="0" xfId="1" applyFont="1" applyAlignment="1">
      <alignment horizontal="left"/>
    </xf>
    <xf numFmtId="1" fontId="0" fillId="0" borderId="0" xfId="0" applyNumberFormat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  <xf numFmtId="0" fontId="0" fillId="2" borderId="0" xfId="0" applyFont="1" applyFill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5" fillId="0" borderId="0" xfId="3" applyFont="1" applyFill="1" applyBorder="1" applyAlignment="1" applyProtection="1">
      <alignment horizontal="right"/>
      <protection locked="0"/>
    </xf>
    <xf numFmtId="9" fontId="0" fillId="0" borderId="0" xfId="2" applyFont="1" applyAlignment="1">
      <alignment horizontal="right"/>
    </xf>
    <xf numFmtId="165" fontId="14" fillId="0" borderId="0" xfId="1" applyNumberFormat="1" applyFont="1"/>
    <xf numFmtId="164" fontId="14" fillId="0" borderId="0" xfId="1" applyNumberFormat="1" applyFont="1"/>
    <xf numFmtId="168" fontId="0" fillId="4" borderId="0" xfId="1" applyNumberFormat="1" applyFont="1" applyFill="1" applyAlignment="1">
      <alignment horizontal="right"/>
    </xf>
    <xf numFmtId="168" fontId="0" fillId="5" borderId="0" xfId="1" applyNumberFormat="1" applyFont="1" applyFill="1" applyAlignment="1">
      <alignment horizontal="right"/>
    </xf>
    <xf numFmtId="0" fontId="15" fillId="6" borderId="0" xfId="0" applyFont="1" applyFill="1" applyAlignment="1">
      <alignment horizontal="right" wrapText="1"/>
    </xf>
    <xf numFmtId="0" fontId="15" fillId="3" borderId="0" xfId="0" applyFont="1" applyFill="1" applyAlignment="1">
      <alignment horizontal="right" wrapText="1"/>
    </xf>
    <xf numFmtId="168" fontId="0" fillId="7" borderId="0" xfId="1" applyNumberFormat="1" applyFont="1" applyFill="1" applyAlignment="1">
      <alignment horizontal="center"/>
    </xf>
    <xf numFmtId="168" fontId="0" fillId="7" borderId="0" xfId="1" applyNumberFormat="1" applyFont="1" applyFill="1" applyAlignment="1">
      <alignment horizontal="right"/>
    </xf>
    <xf numFmtId="0" fontId="15" fillId="7" borderId="0" xfId="0" applyFont="1" applyFill="1" applyAlignment="1">
      <alignment horizontal="right" wrapText="1"/>
    </xf>
    <xf numFmtId="0" fontId="8" fillId="3" borderId="2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0" fillId="0" borderId="0" xfId="4" applyFont="1"/>
    <xf numFmtId="167" fontId="0" fillId="0" borderId="10" xfId="0" applyNumberFormat="1" applyFont="1" applyBorder="1"/>
    <xf numFmtId="167" fontId="0" fillId="0" borderId="15" xfId="0" applyNumberFormat="1" applyFont="1" applyBorder="1"/>
    <xf numFmtId="167" fontId="0" fillId="0" borderId="14" xfId="0" applyNumberFormat="1" applyFont="1" applyBorder="1"/>
    <xf numFmtId="167" fontId="0" fillId="0" borderId="11" xfId="0" applyNumberFormat="1" applyFont="1" applyBorder="1"/>
    <xf numFmtId="167" fontId="0" fillId="0" borderId="0" xfId="0" applyNumberFormat="1" applyFont="1" applyBorder="1"/>
    <xf numFmtId="167" fontId="0" fillId="0" borderId="9" xfId="0" applyNumberFormat="1" applyFont="1" applyBorder="1"/>
    <xf numFmtId="167" fontId="0" fillId="0" borderId="13" xfId="0" applyNumberFormat="1" applyFont="1" applyBorder="1"/>
    <xf numFmtId="167" fontId="0" fillId="0" borderId="8" xfId="0" applyNumberFormat="1" applyFont="1" applyBorder="1"/>
    <xf numFmtId="167" fontId="0" fillId="0" borderId="7" xfId="0" applyNumberFormat="1" applyFont="1" applyBorder="1"/>
    <xf numFmtId="2" fontId="17" fillId="0" borderId="1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2" fontId="17" fillId="0" borderId="11" xfId="0" applyNumberFormat="1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2" fontId="17" fillId="0" borderId="8" xfId="0" applyNumberFormat="1" applyFont="1" applyFill="1" applyBorder="1" applyAlignment="1">
      <alignment horizontal="center"/>
    </xf>
    <xf numFmtId="4" fontId="17" fillId="0" borderId="8" xfId="0" applyNumberFormat="1" applyFont="1" applyFill="1" applyBorder="1" applyAlignment="1">
      <alignment horizontal="center"/>
    </xf>
    <xf numFmtId="2" fontId="17" fillId="0" borderId="7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/>
    <xf numFmtId="0" fontId="2" fillId="3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8" fillId="0" borderId="0" xfId="4" applyFont="1" applyAlignment="1">
      <alignment horizontal="left"/>
    </xf>
    <xf numFmtId="0" fontId="18" fillId="0" borderId="0" xfId="4" applyFont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8" fillId="0" borderId="0" xfId="4" quotePrefix="1" applyFont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2" fontId="0" fillId="0" borderId="9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43" fontId="0" fillId="0" borderId="11" xfId="1" applyNumberFormat="1" applyFont="1" applyBorder="1" applyAlignment="1">
      <alignment horizontal="center"/>
    </xf>
    <xf numFmtId="43" fontId="0" fillId="0" borderId="13" xfId="1" applyNumberFormat="1" applyFont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166" fontId="0" fillId="0" borderId="9" xfId="0" applyNumberFormat="1" applyFont="1" applyBorder="1" applyAlignment="1">
      <alignment horizontal="center"/>
    </xf>
    <xf numFmtId="2" fontId="0" fillId="0" borderId="11" xfId="0" applyNumberFormat="1" applyFont="1" applyFill="1" applyBorder="1" applyAlignment="1">
      <alignment horizontal="center"/>
    </xf>
    <xf numFmtId="2" fontId="0" fillId="0" borderId="13" xfId="0" applyNumberFormat="1" applyFont="1" applyFill="1" applyBorder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166" fontId="0" fillId="0" borderId="8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43" fontId="0" fillId="0" borderId="0" xfId="1" applyNumberFormat="1" applyFont="1"/>
    <xf numFmtId="43" fontId="0" fillId="0" borderId="0" xfId="1" applyFont="1"/>
    <xf numFmtId="2" fontId="14" fillId="0" borderId="0" xfId="0" applyNumberFormat="1" applyFont="1"/>
    <xf numFmtId="2" fontId="0" fillId="0" borderId="0" xfId="1" applyNumberFormat="1" applyFont="1"/>
    <xf numFmtId="43" fontId="14" fillId="0" borderId="0" xfId="1" applyNumberFormat="1" applyFont="1"/>
    <xf numFmtId="43" fontId="14" fillId="0" borderId="0" xfId="0" applyNumberFormat="1" applyFont="1"/>
    <xf numFmtId="0" fontId="20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5" fillId="3" borderId="0" xfId="0" applyFont="1" applyFill="1" applyAlignment="1">
      <alignment horizontal="center" wrapText="1"/>
    </xf>
    <xf numFmtId="0" fontId="16" fillId="7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22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5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 indent="2"/>
    </xf>
    <xf numFmtId="0" fontId="22" fillId="0" borderId="0" xfId="0" applyFont="1" applyAlignment="1">
      <alignment horizontal="left" vertical="center" wrapText="1"/>
    </xf>
  </cellXfs>
  <cellStyles count="5">
    <cellStyle name="Comma" xfId="1" builtinId="3"/>
    <cellStyle name="Normal" xfId="0" builtinId="0"/>
    <cellStyle name="Normal 2" xfId="4"/>
    <cellStyle name="Normal_CFT99 - Reinvestment strategies comparison to BUD2000" xfId="3"/>
    <cellStyle name="Percent" xfId="2" builtinId="5"/>
  </cellStyles>
  <dxfs count="0"/>
  <tableStyles count="0" defaultTableStyle="TableStyleMedium2" defaultPivotStyle="PivotStyleMedium9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tabSelected="1" workbookViewId="0"/>
  </sheetViews>
  <sheetFormatPr defaultRowHeight="15" x14ac:dyDescent="0.25"/>
  <cols>
    <col min="1" max="1" width="145.7109375" customWidth="1"/>
  </cols>
  <sheetData>
    <row r="1" spans="1:1" x14ac:dyDescent="0.25">
      <c r="A1" s="110" t="s">
        <v>178</v>
      </c>
    </row>
    <row r="3" spans="1:1" ht="47.25" x14ac:dyDescent="0.25">
      <c r="A3" s="111" t="s">
        <v>187</v>
      </c>
    </row>
    <row r="5" spans="1:1" ht="15.75" x14ac:dyDescent="0.25">
      <c r="A5" s="112" t="s">
        <v>179</v>
      </c>
    </row>
    <row r="6" spans="1:1" ht="15.75" x14ac:dyDescent="0.25">
      <c r="A6" s="121" t="s">
        <v>189</v>
      </c>
    </row>
    <row r="7" spans="1:1" ht="15.75" x14ac:dyDescent="0.25">
      <c r="A7" s="121" t="s">
        <v>190</v>
      </c>
    </row>
    <row r="8" spans="1:1" ht="15.75" x14ac:dyDescent="0.25">
      <c r="A8" s="122" t="s">
        <v>191</v>
      </c>
    </row>
    <row r="9" spans="1:1" ht="15.75" x14ac:dyDescent="0.25">
      <c r="A9" s="122" t="s">
        <v>192</v>
      </c>
    </row>
    <row r="10" spans="1:1" ht="15.75" x14ac:dyDescent="0.25">
      <c r="A10" s="122"/>
    </row>
    <row r="11" spans="1:1" ht="15.75" x14ac:dyDescent="0.25">
      <c r="A11" s="113" t="s">
        <v>180</v>
      </c>
    </row>
    <row r="12" spans="1:1" ht="15.75" x14ac:dyDescent="0.25">
      <c r="A12" s="111" t="s">
        <v>181</v>
      </c>
    </row>
    <row r="13" spans="1:1" ht="15.75" x14ac:dyDescent="0.25">
      <c r="A13" s="111"/>
    </row>
    <row r="14" spans="1:1" ht="15.75" x14ac:dyDescent="0.25">
      <c r="A14" s="113" t="s">
        <v>182</v>
      </c>
    </row>
    <row r="15" spans="1:1" ht="15.75" x14ac:dyDescent="0.25">
      <c r="A15" s="111" t="s">
        <v>183</v>
      </c>
    </row>
    <row r="16" spans="1:1" ht="15.75" x14ac:dyDescent="0.25">
      <c r="A16" s="111"/>
    </row>
    <row r="17" spans="1:1" ht="15.75" x14ac:dyDescent="0.25">
      <c r="A17" s="113" t="s">
        <v>184</v>
      </c>
    </row>
    <row r="18" spans="1:1" ht="15.75" x14ac:dyDescent="0.25">
      <c r="A18" s="123" t="s">
        <v>193</v>
      </c>
    </row>
    <row r="19" spans="1:1" ht="31.5" x14ac:dyDescent="0.25">
      <c r="A19" s="124" t="s">
        <v>194</v>
      </c>
    </row>
    <row r="20" spans="1:1" ht="15.75" x14ac:dyDescent="0.25">
      <c r="A20" s="121" t="s">
        <v>195</v>
      </c>
    </row>
    <row r="21" spans="1:1" ht="15.75" x14ac:dyDescent="0.25">
      <c r="A21" s="121" t="s">
        <v>196</v>
      </c>
    </row>
    <row r="22" spans="1:1" ht="15.75" x14ac:dyDescent="0.25">
      <c r="A22" s="121" t="s">
        <v>197</v>
      </c>
    </row>
    <row r="23" spans="1:1" ht="15.75" x14ac:dyDescent="0.25">
      <c r="A23" s="111"/>
    </row>
    <row r="24" spans="1:1" ht="15.75" x14ac:dyDescent="0.25">
      <c r="A24" s="113" t="s">
        <v>185</v>
      </c>
    </row>
    <row r="25" spans="1:1" ht="15.75" x14ac:dyDescent="0.25">
      <c r="A25" s="111" t="s">
        <v>198</v>
      </c>
    </row>
    <row r="26" spans="1:1" ht="15.75" x14ac:dyDescent="0.25">
      <c r="A26" s="125" t="s">
        <v>199</v>
      </c>
    </row>
    <row r="27" spans="1:1" ht="15.75" x14ac:dyDescent="0.25">
      <c r="A27" s="125" t="s">
        <v>200</v>
      </c>
    </row>
    <row r="28" spans="1:1" ht="31.5" x14ac:dyDescent="0.25">
      <c r="A28" s="125" t="s">
        <v>201</v>
      </c>
    </row>
    <row r="29" spans="1:1" ht="15.75" x14ac:dyDescent="0.25">
      <c r="A29" s="125" t="s">
        <v>202</v>
      </c>
    </row>
    <row r="30" spans="1:1" ht="15.75" x14ac:dyDescent="0.25">
      <c r="A30" s="125" t="s">
        <v>203</v>
      </c>
    </row>
    <row r="31" spans="1:1" ht="31.5" x14ac:dyDescent="0.25">
      <c r="A31" s="125" t="s">
        <v>204</v>
      </c>
    </row>
    <row r="32" spans="1:1" ht="31.5" x14ac:dyDescent="0.25">
      <c r="A32" s="125" t="s">
        <v>205</v>
      </c>
    </row>
    <row r="33" spans="1:1" ht="15.75" x14ac:dyDescent="0.25">
      <c r="A33" s="125" t="s">
        <v>206</v>
      </c>
    </row>
    <row r="34" spans="1:1" ht="15.75" x14ac:dyDescent="0.25">
      <c r="A34" s="125" t="s">
        <v>207</v>
      </c>
    </row>
    <row r="35" spans="1:1" ht="15.75" x14ac:dyDescent="0.25">
      <c r="A35" s="111"/>
    </row>
    <row r="36" spans="1:1" ht="15.75" x14ac:dyDescent="0.25">
      <c r="A36" s="113" t="s">
        <v>186</v>
      </c>
    </row>
    <row r="37" spans="1:1" ht="15.75" x14ac:dyDescent="0.25">
      <c r="A37" s="123" t="s">
        <v>208</v>
      </c>
    </row>
    <row r="38" spans="1:1" ht="31.5" x14ac:dyDescent="0.25">
      <c r="A38" s="124" t="s">
        <v>209</v>
      </c>
    </row>
    <row r="39" spans="1:1" ht="15.75" x14ac:dyDescent="0.25">
      <c r="A39" s="121" t="s">
        <v>210</v>
      </c>
    </row>
    <row r="40" spans="1:1" ht="15.75" x14ac:dyDescent="0.25">
      <c r="A40" s="121" t="s">
        <v>211</v>
      </c>
    </row>
    <row r="41" spans="1:1" ht="15.75" x14ac:dyDescent="0.25">
      <c r="A41" s="121" t="s">
        <v>212</v>
      </c>
    </row>
    <row r="42" spans="1:1" ht="15.75" x14ac:dyDescent="0.25">
      <c r="A42" s="111"/>
    </row>
    <row r="43" spans="1:1" ht="15.75" x14ac:dyDescent="0.25">
      <c r="A43" s="113" t="s">
        <v>186</v>
      </c>
    </row>
    <row r="44" spans="1:1" ht="31.5" x14ac:dyDescent="0.25">
      <c r="A44" s="111" t="s">
        <v>213</v>
      </c>
    </row>
    <row r="45" spans="1:1" ht="15.75" x14ac:dyDescent="0.25">
      <c r="A45" s="125" t="s">
        <v>214</v>
      </c>
    </row>
    <row r="46" spans="1:1" ht="15.75" x14ac:dyDescent="0.25">
      <c r="A46" s="125" t="s">
        <v>215</v>
      </c>
    </row>
    <row r="47" spans="1:1" ht="15.75" x14ac:dyDescent="0.25">
      <c r="A47" s="111"/>
    </row>
    <row r="48" spans="1:1" ht="15.75" x14ac:dyDescent="0.25">
      <c r="A48" s="121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/>
  </sheetViews>
  <sheetFormatPr defaultRowHeight="15" x14ac:dyDescent="0.25"/>
  <cols>
    <col min="1" max="1" width="15" customWidth="1"/>
    <col min="2" max="3" width="12.28515625" customWidth="1"/>
    <col min="5" max="5" width="12.7109375" customWidth="1"/>
    <col min="6" max="6" width="12.85546875" customWidth="1"/>
    <col min="8" max="8" width="16.7109375" customWidth="1"/>
    <col min="12" max="12" width="24.140625" customWidth="1"/>
    <col min="14" max="14" width="12.140625" customWidth="1"/>
    <col min="15" max="15" width="12.28515625" customWidth="1"/>
  </cols>
  <sheetData>
    <row r="1" spans="1:15" ht="21" x14ac:dyDescent="0.35">
      <c r="A1" s="14" t="s">
        <v>132</v>
      </c>
      <c r="B1" s="14"/>
      <c r="C1" s="14"/>
    </row>
    <row r="3" spans="1:15" ht="18.75" x14ac:dyDescent="0.3">
      <c r="A3" s="20" t="s">
        <v>133</v>
      </c>
      <c r="B3" s="20"/>
      <c r="C3" s="20"/>
      <c r="L3" s="20" t="s">
        <v>149</v>
      </c>
    </row>
    <row r="5" spans="1:15" ht="30" customHeight="1" x14ac:dyDescent="0.25">
      <c r="A5" s="29" t="s">
        <v>134</v>
      </c>
      <c r="B5" s="30" t="s">
        <v>139</v>
      </c>
      <c r="C5" s="31" t="s">
        <v>126</v>
      </c>
      <c r="D5" s="30" t="s">
        <v>43</v>
      </c>
      <c r="E5" s="31" t="s">
        <v>79</v>
      </c>
      <c r="F5" s="31" t="s">
        <v>135</v>
      </c>
      <c r="G5" s="30" t="s">
        <v>136</v>
      </c>
      <c r="H5" s="30" t="s">
        <v>147</v>
      </c>
      <c r="I5" s="30" t="s">
        <v>137</v>
      </c>
      <c r="J5" s="30" t="s">
        <v>138</v>
      </c>
      <c r="L5" s="28" t="s">
        <v>134</v>
      </c>
      <c r="M5" s="30" t="s">
        <v>43</v>
      </c>
      <c r="N5" s="31" t="s">
        <v>126</v>
      </c>
      <c r="O5" s="31" t="s">
        <v>135</v>
      </c>
    </row>
    <row r="6" spans="1:15" x14ac:dyDescent="0.25">
      <c r="A6" s="2">
        <v>1</v>
      </c>
      <c r="B6" s="24" t="s">
        <v>140</v>
      </c>
      <c r="C6" s="24">
        <f>+PBRRating!F14</f>
        <v>1</v>
      </c>
      <c r="D6" s="24">
        <v>2</v>
      </c>
      <c r="E6" s="24">
        <v>1</v>
      </c>
      <c r="F6" s="24">
        <v>12</v>
      </c>
      <c r="G6" s="24">
        <v>40</v>
      </c>
      <c r="H6" s="25">
        <v>2000000</v>
      </c>
      <c r="I6" s="26" t="s">
        <v>0</v>
      </c>
      <c r="J6" s="24" t="s">
        <v>46</v>
      </c>
      <c r="L6" t="s">
        <v>150</v>
      </c>
      <c r="M6">
        <f>ROUND(SUMPRODUCT(D6:D11,H6:H11)/SUM(H6:H11),0)</f>
        <v>13</v>
      </c>
      <c r="N6">
        <v>9</v>
      </c>
      <c r="O6">
        <v>10</v>
      </c>
    </row>
    <row r="7" spans="1:15" x14ac:dyDescent="0.25">
      <c r="A7" s="2">
        <f>+A6+1</f>
        <v>2</v>
      </c>
      <c r="B7" s="24" t="s">
        <v>140</v>
      </c>
      <c r="C7" s="24">
        <f>+PBRRating!F15</f>
        <v>7</v>
      </c>
      <c r="D7" s="24">
        <v>5</v>
      </c>
      <c r="E7" s="24">
        <v>1</v>
      </c>
      <c r="F7" s="24">
        <v>12</v>
      </c>
      <c r="G7" s="24">
        <v>80</v>
      </c>
      <c r="H7" s="25">
        <v>3000000</v>
      </c>
      <c r="I7" s="24" t="s">
        <v>6</v>
      </c>
      <c r="J7" s="24" t="s">
        <v>56</v>
      </c>
    </row>
    <row r="8" spans="1:15" x14ac:dyDescent="0.25">
      <c r="A8" s="2">
        <f t="shared" ref="A8:A11" si="0">+A7+1</f>
        <v>3</v>
      </c>
      <c r="B8" s="24" t="s">
        <v>140</v>
      </c>
      <c r="C8" s="24">
        <f>+PBRRating!F16</f>
        <v>9</v>
      </c>
      <c r="D8" s="24">
        <v>10</v>
      </c>
      <c r="E8" s="24">
        <v>2</v>
      </c>
      <c r="F8" s="24">
        <v>12</v>
      </c>
      <c r="G8" s="24">
        <v>220</v>
      </c>
      <c r="H8" s="25">
        <v>5000000</v>
      </c>
      <c r="I8" s="24" t="s">
        <v>8</v>
      </c>
      <c r="J8" s="24" t="s">
        <v>57</v>
      </c>
    </row>
    <row r="9" spans="1:15" x14ac:dyDescent="0.25">
      <c r="A9" s="2">
        <f t="shared" si="0"/>
        <v>4</v>
      </c>
      <c r="B9" s="24" t="s">
        <v>140</v>
      </c>
      <c r="C9" s="24">
        <f>+PBRRating!F17</f>
        <v>4</v>
      </c>
      <c r="D9" s="24">
        <v>20</v>
      </c>
      <c r="E9" s="24">
        <v>2</v>
      </c>
      <c r="F9" s="24">
        <v>12</v>
      </c>
      <c r="G9" s="24">
        <v>180</v>
      </c>
      <c r="H9" s="25">
        <v>2000000</v>
      </c>
      <c r="I9" s="24" t="s">
        <v>3</v>
      </c>
      <c r="J9" s="24" t="s">
        <v>47</v>
      </c>
    </row>
    <row r="10" spans="1:15" x14ac:dyDescent="0.25">
      <c r="A10" s="2">
        <f t="shared" si="0"/>
        <v>5</v>
      </c>
      <c r="B10" s="24" t="s">
        <v>140</v>
      </c>
      <c r="C10" s="24">
        <f>+PBRRating!F18</f>
        <v>13</v>
      </c>
      <c r="D10" s="24">
        <v>30</v>
      </c>
      <c r="E10" s="24">
        <v>3</v>
      </c>
      <c r="F10" s="24">
        <v>12</v>
      </c>
      <c r="G10" s="24">
        <v>300</v>
      </c>
      <c r="H10" s="25">
        <v>1000000</v>
      </c>
      <c r="I10" s="24" t="s">
        <v>11</v>
      </c>
      <c r="J10" s="24" t="s">
        <v>83</v>
      </c>
    </row>
    <row r="11" spans="1:15" x14ac:dyDescent="0.25">
      <c r="A11" s="2">
        <f t="shared" si="0"/>
        <v>6</v>
      </c>
      <c r="B11" s="24" t="s">
        <v>107</v>
      </c>
      <c r="C11" s="24">
        <f>+PBRRating!F19</f>
        <v>10</v>
      </c>
      <c r="D11" s="24">
        <v>20</v>
      </c>
      <c r="E11" s="24">
        <v>2</v>
      </c>
      <c r="F11" s="24">
        <v>25</v>
      </c>
      <c r="G11" s="24">
        <v>325</v>
      </c>
      <c r="H11" s="25">
        <v>4000000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9.42578125" customWidth="1"/>
    <col min="2" max="2" width="14" customWidth="1"/>
    <col min="3" max="3" width="12.7109375" customWidth="1"/>
    <col min="4" max="21" width="10.7109375" customWidth="1"/>
  </cols>
  <sheetData>
    <row r="1" spans="1:22" ht="18.75" x14ac:dyDescent="0.3">
      <c r="A1" s="1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8.75" x14ac:dyDescent="0.3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8.75" x14ac:dyDescent="0.3">
      <c r="A3" s="1" t="s">
        <v>110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x14ac:dyDescent="0.25">
      <c r="A4" s="45"/>
      <c r="B4" s="115" t="s">
        <v>44</v>
      </c>
      <c r="C4" s="116"/>
      <c r="D4" s="116"/>
      <c r="E4" s="116"/>
      <c r="F4" s="116"/>
      <c r="G4" s="116"/>
      <c r="H4" s="116"/>
      <c r="I4" s="116"/>
      <c r="J4" s="116"/>
      <c r="K4" s="117"/>
      <c r="L4" s="5"/>
      <c r="M4" s="7"/>
      <c r="N4" s="7"/>
      <c r="O4" s="7"/>
      <c r="P4" s="7"/>
      <c r="Q4" s="7"/>
      <c r="R4" s="7"/>
      <c r="S4" s="7"/>
      <c r="T4" s="7"/>
      <c r="U4" s="7"/>
      <c r="V4" s="5"/>
    </row>
    <row r="5" spans="1:22" x14ac:dyDescent="0.25">
      <c r="A5" s="46" t="s">
        <v>126</v>
      </c>
      <c r="B5" s="47">
        <v>1</v>
      </c>
      <c r="C5" s="48">
        <f t="shared" ref="C5:K5" si="0">+B5+1</f>
        <v>2</v>
      </c>
      <c r="D5" s="48">
        <f t="shared" si="0"/>
        <v>3</v>
      </c>
      <c r="E5" s="48">
        <f t="shared" si="0"/>
        <v>4</v>
      </c>
      <c r="F5" s="48">
        <f t="shared" si="0"/>
        <v>5</v>
      </c>
      <c r="G5" s="48">
        <f t="shared" si="0"/>
        <v>6</v>
      </c>
      <c r="H5" s="48">
        <f t="shared" si="0"/>
        <v>7</v>
      </c>
      <c r="I5" s="48">
        <f t="shared" si="0"/>
        <v>8</v>
      </c>
      <c r="J5" s="48">
        <f t="shared" si="0"/>
        <v>9</v>
      </c>
      <c r="K5" s="49">
        <f t="shared" si="0"/>
        <v>10</v>
      </c>
      <c r="L5" s="5"/>
      <c r="M5" s="7"/>
      <c r="N5" s="7"/>
      <c r="O5" s="7"/>
      <c r="P5" s="7"/>
      <c r="Q5" s="7"/>
      <c r="R5" s="7"/>
      <c r="S5" s="7"/>
      <c r="T5" s="7"/>
      <c r="U5" s="7"/>
      <c r="V5" s="5"/>
    </row>
    <row r="6" spans="1:22" x14ac:dyDescent="0.25">
      <c r="A6" s="50">
        <v>1</v>
      </c>
      <c r="B6" s="58">
        <v>0</v>
      </c>
      <c r="C6" s="59">
        <v>0</v>
      </c>
      <c r="D6" s="59">
        <v>0</v>
      </c>
      <c r="E6" s="59">
        <v>0.1</v>
      </c>
      <c r="F6" s="59">
        <v>0.1</v>
      </c>
      <c r="G6" s="59">
        <v>0.1</v>
      </c>
      <c r="H6" s="59">
        <v>0.1</v>
      </c>
      <c r="I6" s="59">
        <v>0.1</v>
      </c>
      <c r="J6" s="59">
        <v>0.2</v>
      </c>
      <c r="K6" s="60">
        <v>0.2</v>
      </c>
      <c r="L6" s="5"/>
      <c r="M6" s="7"/>
      <c r="N6" s="7"/>
      <c r="O6" s="7"/>
      <c r="P6" s="7"/>
      <c r="Q6" s="7"/>
      <c r="R6" s="7"/>
      <c r="S6" s="7"/>
      <c r="T6" s="7"/>
      <c r="U6" s="7"/>
      <c r="V6" s="5"/>
    </row>
    <row r="7" spans="1:22" x14ac:dyDescent="0.25">
      <c r="A7" s="50">
        <v>2</v>
      </c>
      <c r="B7" s="61">
        <v>0.1</v>
      </c>
      <c r="C7" s="62">
        <v>0.4</v>
      </c>
      <c r="D7" s="62">
        <v>0.7</v>
      </c>
      <c r="E7" s="62">
        <v>1</v>
      </c>
      <c r="F7" s="62">
        <v>1.1000000000000001</v>
      </c>
      <c r="G7" s="62">
        <v>1.3</v>
      </c>
      <c r="H7" s="62">
        <v>1.4</v>
      </c>
      <c r="I7" s="62">
        <v>1.5</v>
      </c>
      <c r="J7" s="62">
        <v>1.6</v>
      </c>
      <c r="K7" s="63">
        <v>1.7</v>
      </c>
      <c r="L7" s="5"/>
      <c r="M7" s="7"/>
      <c r="N7" s="7"/>
      <c r="O7" s="7"/>
      <c r="P7" s="7"/>
      <c r="Q7" s="7"/>
      <c r="R7" s="7"/>
      <c r="S7" s="7"/>
      <c r="T7" s="7"/>
      <c r="U7" s="7"/>
      <c r="V7" s="5"/>
    </row>
    <row r="8" spans="1:22" x14ac:dyDescent="0.25">
      <c r="A8" s="50">
        <v>3</v>
      </c>
      <c r="B8" s="61">
        <v>0.3</v>
      </c>
      <c r="C8" s="62">
        <v>1</v>
      </c>
      <c r="D8" s="62">
        <v>1.7</v>
      </c>
      <c r="E8" s="62">
        <v>2.2000000000000002</v>
      </c>
      <c r="F8" s="62">
        <v>2.5</v>
      </c>
      <c r="G8" s="62">
        <v>2.7</v>
      </c>
      <c r="H8" s="62">
        <v>2.9</v>
      </c>
      <c r="I8" s="62">
        <v>3</v>
      </c>
      <c r="J8" s="62">
        <v>3.2</v>
      </c>
      <c r="K8" s="63">
        <v>3.5</v>
      </c>
      <c r="L8" s="5"/>
      <c r="M8" s="7"/>
      <c r="N8" s="7"/>
      <c r="O8" s="7"/>
      <c r="P8" s="7"/>
      <c r="Q8" s="7"/>
      <c r="R8" s="7"/>
      <c r="S8" s="7"/>
      <c r="T8" s="7"/>
      <c r="U8" s="7"/>
      <c r="V8" s="5"/>
    </row>
    <row r="9" spans="1:22" x14ac:dyDescent="0.25">
      <c r="A9" s="50">
        <v>4</v>
      </c>
      <c r="B9" s="61">
        <v>0.7</v>
      </c>
      <c r="C9" s="62">
        <v>2.2999999999999998</v>
      </c>
      <c r="D9" s="62">
        <v>3.9</v>
      </c>
      <c r="E9" s="62">
        <v>4.8</v>
      </c>
      <c r="F9" s="62">
        <v>5.2</v>
      </c>
      <c r="G9" s="62">
        <v>5.6</v>
      </c>
      <c r="H9" s="62">
        <v>5.9</v>
      </c>
      <c r="I9" s="62">
        <v>6.1</v>
      </c>
      <c r="J9" s="62">
        <v>6.5</v>
      </c>
      <c r="K9" s="63">
        <v>7</v>
      </c>
      <c r="L9" s="5"/>
      <c r="M9" s="7"/>
      <c r="N9" s="7"/>
      <c r="O9" s="7"/>
      <c r="P9" s="7"/>
      <c r="Q9" s="7"/>
      <c r="R9" s="7"/>
      <c r="S9" s="7"/>
      <c r="T9" s="7"/>
      <c r="U9" s="7"/>
      <c r="V9" s="5"/>
    </row>
    <row r="10" spans="1:22" x14ac:dyDescent="0.25">
      <c r="A10" s="50">
        <v>5</v>
      </c>
      <c r="B10" s="61">
        <v>1.3</v>
      </c>
      <c r="C10" s="62">
        <v>4.4000000000000004</v>
      </c>
      <c r="D10" s="62">
        <v>7.8</v>
      </c>
      <c r="E10" s="62">
        <v>8.9</v>
      </c>
      <c r="F10" s="62">
        <v>9.6</v>
      </c>
      <c r="G10" s="62">
        <v>10.1</v>
      </c>
      <c r="H10" s="62">
        <v>10.6</v>
      </c>
      <c r="I10" s="62">
        <v>10.9</v>
      </c>
      <c r="J10" s="62">
        <v>11.4</v>
      </c>
      <c r="K10" s="63">
        <v>12.2</v>
      </c>
      <c r="L10" s="5"/>
      <c r="M10" s="7"/>
      <c r="N10" s="7"/>
      <c r="O10" s="7"/>
      <c r="P10" s="7"/>
      <c r="Q10" s="7"/>
      <c r="R10" s="7"/>
      <c r="S10" s="7"/>
      <c r="T10" s="7"/>
      <c r="U10" s="7"/>
      <c r="V10" s="5"/>
    </row>
    <row r="11" spans="1:22" x14ac:dyDescent="0.25">
      <c r="A11" s="50">
        <v>6</v>
      </c>
      <c r="B11" s="61">
        <v>2.4</v>
      </c>
      <c r="C11" s="62">
        <v>8.4</v>
      </c>
      <c r="D11" s="62">
        <v>14.7</v>
      </c>
      <c r="E11" s="62">
        <v>16.3</v>
      </c>
      <c r="F11" s="62">
        <v>17.2</v>
      </c>
      <c r="G11" s="62">
        <v>18</v>
      </c>
      <c r="H11" s="62">
        <v>18.5</v>
      </c>
      <c r="I11" s="62">
        <v>18.8</v>
      </c>
      <c r="J11" s="62">
        <v>19.7</v>
      </c>
      <c r="K11" s="63">
        <v>21.1</v>
      </c>
      <c r="L11" s="5"/>
      <c r="M11" s="7"/>
      <c r="N11" s="7"/>
      <c r="O11" s="7"/>
      <c r="P11" s="7"/>
      <c r="Q11" s="7"/>
      <c r="R11" s="7"/>
      <c r="S11" s="7"/>
      <c r="T11" s="7"/>
      <c r="U11" s="7"/>
      <c r="V11" s="5"/>
    </row>
    <row r="12" spans="1:22" x14ac:dyDescent="0.25">
      <c r="A12" s="50">
        <v>7</v>
      </c>
      <c r="B12" s="61">
        <v>4.9000000000000004</v>
      </c>
      <c r="C12" s="62">
        <v>11</v>
      </c>
      <c r="D12" s="62">
        <v>17.100000000000001</v>
      </c>
      <c r="E12" s="62">
        <v>19.399999999999999</v>
      </c>
      <c r="F12" s="62">
        <v>21.1</v>
      </c>
      <c r="G12" s="62">
        <v>21.8</v>
      </c>
      <c r="H12" s="62">
        <v>22.9</v>
      </c>
      <c r="I12" s="62">
        <v>23.6</v>
      </c>
      <c r="J12" s="62">
        <v>24.6</v>
      </c>
      <c r="K12" s="63">
        <v>26.3</v>
      </c>
      <c r="L12" s="5"/>
      <c r="M12" s="7"/>
      <c r="N12" s="7"/>
      <c r="O12" s="7"/>
      <c r="P12" s="7"/>
      <c r="Q12" s="7"/>
      <c r="R12" s="7"/>
      <c r="S12" s="7"/>
      <c r="T12" s="7"/>
      <c r="U12" s="7"/>
      <c r="V12" s="5"/>
    </row>
    <row r="13" spans="1:22" x14ac:dyDescent="0.25">
      <c r="A13" s="50">
        <v>8</v>
      </c>
      <c r="B13" s="61">
        <v>11.3</v>
      </c>
      <c r="C13" s="62">
        <v>20.6</v>
      </c>
      <c r="D13" s="62">
        <v>26.7</v>
      </c>
      <c r="E13" s="62">
        <v>30</v>
      </c>
      <c r="F13" s="62">
        <v>31.9</v>
      </c>
      <c r="G13" s="62">
        <v>33</v>
      </c>
      <c r="H13" s="62">
        <v>34.700000000000003</v>
      </c>
      <c r="I13" s="62">
        <v>36.1</v>
      </c>
      <c r="J13" s="62">
        <v>37.1</v>
      </c>
      <c r="K13" s="63">
        <v>38.4</v>
      </c>
      <c r="L13" s="5"/>
      <c r="M13" s="7"/>
      <c r="N13" s="7"/>
      <c r="O13" s="7"/>
      <c r="P13" s="7"/>
      <c r="Q13" s="7"/>
      <c r="R13" s="7"/>
      <c r="S13" s="7"/>
      <c r="T13" s="7"/>
      <c r="U13" s="7"/>
      <c r="V13" s="5"/>
    </row>
    <row r="14" spans="1:22" x14ac:dyDescent="0.25">
      <c r="A14" s="50">
        <v>9</v>
      </c>
      <c r="B14" s="61">
        <v>22.3</v>
      </c>
      <c r="C14" s="62">
        <v>36.1</v>
      </c>
      <c r="D14" s="62">
        <v>41.3</v>
      </c>
      <c r="E14" s="62">
        <v>45.3</v>
      </c>
      <c r="F14" s="62">
        <v>48</v>
      </c>
      <c r="G14" s="62">
        <v>49.8</v>
      </c>
      <c r="H14" s="62">
        <v>52.6</v>
      </c>
      <c r="I14" s="62">
        <v>54.9</v>
      </c>
      <c r="J14" s="62">
        <v>55.8</v>
      </c>
      <c r="K14" s="63">
        <v>56</v>
      </c>
      <c r="L14" s="5"/>
      <c r="M14" s="7"/>
      <c r="N14" s="7"/>
      <c r="O14" s="7"/>
      <c r="P14" s="7"/>
      <c r="Q14" s="7"/>
      <c r="R14" s="7"/>
      <c r="S14" s="7"/>
      <c r="T14" s="7"/>
      <c r="U14" s="7"/>
      <c r="V14" s="5"/>
    </row>
    <row r="15" spans="1:22" x14ac:dyDescent="0.25">
      <c r="A15" s="50">
        <v>10</v>
      </c>
      <c r="B15" s="61">
        <v>57.2</v>
      </c>
      <c r="C15" s="62">
        <v>84.1</v>
      </c>
      <c r="D15" s="62">
        <v>89.1</v>
      </c>
      <c r="E15" s="62">
        <v>94.4</v>
      </c>
      <c r="F15" s="62">
        <v>97.8</v>
      </c>
      <c r="G15" s="62">
        <v>99.1</v>
      </c>
      <c r="H15" s="62">
        <v>100.4</v>
      </c>
      <c r="I15" s="62">
        <v>102</v>
      </c>
      <c r="J15" s="62">
        <v>102.6</v>
      </c>
      <c r="K15" s="63">
        <v>101.7</v>
      </c>
      <c r="L15" s="5"/>
      <c r="M15" s="7"/>
      <c r="N15" s="7"/>
      <c r="O15" s="7"/>
      <c r="P15" s="7"/>
      <c r="Q15" s="7"/>
      <c r="R15" s="7"/>
      <c r="S15" s="7"/>
      <c r="T15" s="7"/>
      <c r="U15" s="7"/>
      <c r="V15" s="5"/>
    </row>
    <row r="16" spans="1:22" x14ac:dyDescent="0.25">
      <c r="A16" s="50">
        <v>11</v>
      </c>
      <c r="B16" s="61">
        <v>102.1</v>
      </c>
      <c r="C16" s="62">
        <v>138.4</v>
      </c>
      <c r="D16" s="62">
        <v>146.1</v>
      </c>
      <c r="E16" s="62">
        <v>154</v>
      </c>
      <c r="F16" s="62">
        <v>159.5</v>
      </c>
      <c r="G16" s="62">
        <v>156.9</v>
      </c>
      <c r="H16" s="62">
        <v>154.9</v>
      </c>
      <c r="I16" s="62">
        <v>154.1</v>
      </c>
      <c r="J16" s="62">
        <v>153.5</v>
      </c>
      <c r="K16" s="63">
        <v>151.9</v>
      </c>
      <c r="L16" s="5"/>
      <c r="M16" s="7"/>
      <c r="N16" s="7"/>
      <c r="O16" s="7"/>
      <c r="P16" s="7"/>
      <c r="Q16" s="7"/>
      <c r="R16" s="7"/>
      <c r="S16" s="7"/>
      <c r="T16" s="7"/>
      <c r="U16" s="7"/>
      <c r="V16" s="5"/>
    </row>
    <row r="17" spans="1:22" x14ac:dyDescent="0.25">
      <c r="A17" s="50">
        <v>12</v>
      </c>
      <c r="B17" s="61">
        <v>161.19999999999999</v>
      </c>
      <c r="C17" s="62">
        <v>210.3</v>
      </c>
      <c r="D17" s="62">
        <v>226.2</v>
      </c>
      <c r="E17" s="62">
        <v>239.1</v>
      </c>
      <c r="F17" s="62">
        <v>247.8</v>
      </c>
      <c r="G17" s="62">
        <v>238</v>
      </c>
      <c r="H17" s="62">
        <v>228.2</v>
      </c>
      <c r="I17" s="62">
        <v>222</v>
      </c>
      <c r="J17" s="62">
        <v>219.2</v>
      </c>
      <c r="K17" s="63">
        <v>216.7</v>
      </c>
      <c r="L17" s="5"/>
      <c r="M17" s="7"/>
      <c r="N17" s="7"/>
      <c r="O17" s="7"/>
      <c r="P17" s="7"/>
      <c r="Q17" s="7"/>
      <c r="R17" s="7"/>
      <c r="S17" s="7"/>
      <c r="T17" s="7"/>
      <c r="U17" s="7"/>
      <c r="V17" s="5"/>
    </row>
    <row r="18" spans="1:22" x14ac:dyDescent="0.25">
      <c r="A18" s="50">
        <v>13</v>
      </c>
      <c r="B18" s="61">
        <v>226.3</v>
      </c>
      <c r="C18" s="62">
        <v>265.8</v>
      </c>
      <c r="D18" s="62">
        <v>284.7</v>
      </c>
      <c r="E18" s="62">
        <v>302.7</v>
      </c>
      <c r="F18" s="62">
        <v>323.3</v>
      </c>
      <c r="G18" s="62">
        <v>310.2</v>
      </c>
      <c r="H18" s="62">
        <v>298.5</v>
      </c>
      <c r="I18" s="62">
        <v>291.7</v>
      </c>
      <c r="J18" s="62">
        <v>287.5</v>
      </c>
      <c r="K18" s="63">
        <v>285.60000000000002</v>
      </c>
      <c r="L18" s="5"/>
      <c r="M18" s="7"/>
      <c r="N18" s="7"/>
      <c r="O18" s="7"/>
      <c r="P18" s="7"/>
      <c r="Q18" s="7"/>
      <c r="R18" s="7"/>
      <c r="S18" s="7"/>
      <c r="T18" s="7"/>
      <c r="U18" s="7"/>
      <c r="V18" s="5"/>
    </row>
    <row r="19" spans="1:22" x14ac:dyDescent="0.25">
      <c r="A19" s="50">
        <v>14</v>
      </c>
      <c r="B19" s="61">
        <v>377</v>
      </c>
      <c r="C19" s="62">
        <v>408.5</v>
      </c>
      <c r="D19" s="62">
        <v>427.8</v>
      </c>
      <c r="E19" s="62">
        <v>441.3</v>
      </c>
      <c r="F19" s="62">
        <v>456.4</v>
      </c>
      <c r="G19" s="62">
        <v>429</v>
      </c>
      <c r="H19" s="62">
        <v>409.1</v>
      </c>
      <c r="I19" s="62">
        <v>394.9</v>
      </c>
      <c r="J19" s="62">
        <v>385.8</v>
      </c>
      <c r="K19" s="63">
        <v>380.7</v>
      </c>
      <c r="L19" s="5"/>
      <c r="M19" s="7"/>
      <c r="N19" s="7"/>
      <c r="O19" s="7"/>
      <c r="P19" s="7"/>
      <c r="Q19" s="7"/>
      <c r="R19" s="7"/>
      <c r="S19" s="7"/>
      <c r="T19" s="7"/>
      <c r="U19" s="7"/>
      <c r="V19" s="5"/>
    </row>
    <row r="20" spans="1:22" x14ac:dyDescent="0.25">
      <c r="A20" s="50">
        <v>15</v>
      </c>
      <c r="B20" s="61">
        <v>470.7</v>
      </c>
      <c r="C20" s="62">
        <v>468.9</v>
      </c>
      <c r="D20" s="62">
        <v>479.6</v>
      </c>
      <c r="E20" s="62">
        <v>485.6</v>
      </c>
      <c r="F20" s="62">
        <v>498.5</v>
      </c>
      <c r="G20" s="62">
        <v>466.4</v>
      </c>
      <c r="H20" s="62">
        <v>441.3</v>
      </c>
      <c r="I20" s="62">
        <v>421.8</v>
      </c>
      <c r="J20" s="62">
        <v>409.1</v>
      </c>
      <c r="K20" s="63">
        <v>399.8</v>
      </c>
      <c r="L20" s="5"/>
      <c r="M20" s="7"/>
      <c r="N20" s="7"/>
      <c r="O20" s="7"/>
      <c r="P20" s="7"/>
      <c r="Q20" s="7"/>
      <c r="R20" s="7"/>
      <c r="S20" s="7"/>
      <c r="T20" s="7"/>
      <c r="U20" s="7"/>
      <c r="V20" s="5"/>
    </row>
    <row r="21" spans="1:22" x14ac:dyDescent="0.25">
      <c r="A21" s="50">
        <v>16</v>
      </c>
      <c r="B21" s="61">
        <v>763.9</v>
      </c>
      <c r="C21" s="62">
        <v>677.9</v>
      </c>
      <c r="D21" s="62">
        <v>666.6</v>
      </c>
      <c r="E21" s="62">
        <v>670.3</v>
      </c>
      <c r="F21" s="62">
        <v>687</v>
      </c>
      <c r="G21" s="62">
        <v>638.70000000000005</v>
      </c>
      <c r="H21" s="62">
        <v>611.6</v>
      </c>
      <c r="I21" s="62">
        <v>593.1</v>
      </c>
      <c r="J21" s="62">
        <v>577.20000000000005</v>
      </c>
      <c r="K21" s="63">
        <v>567.4</v>
      </c>
      <c r="L21" s="5"/>
      <c r="M21" s="7"/>
      <c r="N21" s="7"/>
      <c r="O21" s="7"/>
      <c r="P21" s="7"/>
      <c r="Q21" s="7"/>
      <c r="R21" s="7"/>
      <c r="S21" s="7"/>
      <c r="T21" s="7"/>
      <c r="U21" s="7"/>
      <c r="V21" s="5"/>
    </row>
    <row r="22" spans="1:22" x14ac:dyDescent="0.25">
      <c r="A22" s="50">
        <v>17</v>
      </c>
      <c r="B22" s="61">
        <v>984.2</v>
      </c>
      <c r="C22" s="62">
        <v>810.7</v>
      </c>
      <c r="D22" s="62">
        <v>782.2</v>
      </c>
      <c r="E22" s="62">
        <v>788.4</v>
      </c>
      <c r="F22" s="62">
        <v>817.6</v>
      </c>
      <c r="G22" s="62">
        <v>766.7</v>
      </c>
      <c r="H22" s="62">
        <v>741.6</v>
      </c>
      <c r="I22" s="62">
        <v>730.6</v>
      </c>
      <c r="J22" s="62">
        <v>727.6</v>
      </c>
      <c r="K22" s="63">
        <v>735.3</v>
      </c>
      <c r="L22" s="5"/>
      <c r="M22" s="7"/>
      <c r="N22" s="7"/>
      <c r="O22" s="7"/>
      <c r="P22" s="7"/>
      <c r="Q22" s="7"/>
      <c r="R22" s="7"/>
      <c r="S22" s="7"/>
      <c r="T22" s="7"/>
      <c r="U22" s="7"/>
      <c r="V22" s="5"/>
    </row>
    <row r="23" spans="1:22" x14ac:dyDescent="0.25">
      <c r="A23" s="50">
        <v>18</v>
      </c>
      <c r="B23" s="61">
        <v>1127.8</v>
      </c>
      <c r="C23" s="62">
        <v>865</v>
      </c>
      <c r="D23" s="62">
        <v>819.5</v>
      </c>
      <c r="E23" s="62">
        <v>813.8</v>
      </c>
      <c r="F23" s="62">
        <v>844.7</v>
      </c>
      <c r="G23" s="62">
        <v>801.6</v>
      </c>
      <c r="H23" s="62">
        <v>780.9</v>
      </c>
      <c r="I23" s="62">
        <v>776.1</v>
      </c>
      <c r="J23" s="62">
        <v>785.2</v>
      </c>
      <c r="K23" s="63">
        <v>806.4</v>
      </c>
      <c r="L23" s="5"/>
      <c r="M23" s="7"/>
      <c r="N23" s="7"/>
      <c r="O23" s="7"/>
      <c r="P23" s="7"/>
      <c r="Q23" s="7"/>
      <c r="R23" s="7"/>
      <c r="S23" s="7"/>
      <c r="T23" s="7"/>
      <c r="U23" s="7"/>
      <c r="V23" s="5"/>
    </row>
    <row r="24" spans="1:22" x14ac:dyDescent="0.25">
      <c r="A24" s="50">
        <v>19</v>
      </c>
      <c r="B24" s="61">
        <v>2211.8000000000002</v>
      </c>
      <c r="C24" s="62">
        <v>1608.4</v>
      </c>
      <c r="D24" s="62">
        <v>1441.1</v>
      </c>
      <c r="E24" s="62">
        <v>1394.9</v>
      </c>
      <c r="F24" s="62">
        <v>1424.3</v>
      </c>
      <c r="G24" s="62">
        <v>1332.8</v>
      </c>
      <c r="H24" s="62">
        <v>1283</v>
      </c>
      <c r="I24" s="62">
        <v>1264.7</v>
      </c>
      <c r="J24" s="62">
        <v>1276.0999999999999</v>
      </c>
      <c r="K24" s="63">
        <v>1321.7</v>
      </c>
      <c r="L24" s="5"/>
      <c r="M24" s="7"/>
      <c r="N24" s="7"/>
      <c r="O24" s="7"/>
      <c r="P24" s="7"/>
      <c r="Q24" s="7"/>
      <c r="R24" s="7"/>
      <c r="S24" s="7"/>
      <c r="T24" s="7"/>
      <c r="U24" s="7"/>
      <c r="V24" s="5"/>
    </row>
    <row r="25" spans="1:22" x14ac:dyDescent="0.25">
      <c r="A25" s="46">
        <v>20</v>
      </c>
      <c r="B25" s="64">
        <v>6993.1</v>
      </c>
      <c r="C25" s="65">
        <v>6993.1</v>
      </c>
      <c r="D25" s="65">
        <v>6993.1</v>
      </c>
      <c r="E25" s="65">
        <v>6993.1</v>
      </c>
      <c r="F25" s="65">
        <v>6993.1</v>
      </c>
      <c r="G25" s="65">
        <v>6993.1</v>
      </c>
      <c r="H25" s="65">
        <v>6993.1</v>
      </c>
      <c r="I25" s="65">
        <v>6993.1</v>
      </c>
      <c r="J25" s="65">
        <v>6993.1</v>
      </c>
      <c r="K25" s="66">
        <v>6993.1</v>
      </c>
      <c r="L25" s="5"/>
      <c r="M25" s="7"/>
      <c r="N25" s="7"/>
      <c r="O25" s="7"/>
      <c r="P25" s="7"/>
      <c r="Q25" s="7"/>
      <c r="R25" s="7"/>
      <c r="S25" s="7"/>
      <c r="T25" s="7"/>
      <c r="U25" s="7"/>
      <c r="V25" s="5"/>
    </row>
    <row r="26" spans="1:22" x14ac:dyDescent="0.25">
      <c r="A26" s="1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5"/>
    </row>
    <row r="27" spans="1:22" x14ac:dyDescent="0.25">
      <c r="A27" s="1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5"/>
    </row>
    <row r="28" spans="1:22" ht="18.75" x14ac:dyDescent="0.3">
      <c r="A28" s="1" t="s">
        <v>108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5"/>
    </row>
    <row r="29" spans="1:22" ht="15.75" x14ac:dyDescent="0.25">
      <c r="A29" s="76" t="s">
        <v>127</v>
      </c>
      <c r="B29" s="18"/>
      <c r="C29" s="18"/>
      <c r="D29" s="18"/>
      <c r="E29" s="18"/>
      <c r="F29" s="18"/>
      <c r="G29" s="19"/>
      <c r="H29" s="19"/>
      <c r="I29" s="19"/>
      <c r="J29" s="19"/>
      <c r="K29" s="19"/>
      <c r="L29" s="77" t="s">
        <v>128</v>
      </c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x14ac:dyDescent="0.25">
      <c r="A30" s="51" t="s">
        <v>43</v>
      </c>
      <c r="B30" s="52" t="s">
        <v>120</v>
      </c>
      <c r="C30" s="53"/>
      <c r="D30" s="53"/>
      <c r="E30" s="53"/>
      <c r="F30" s="53"/>
      <c r="G30" s="53"/>
      <c r="H30" s="53"/>
      <c r="I30" s="53"/>
      <c r="J30" s="53"/>
      <c r="K30" s="54"/>
      <c r="L30" s="52" t="s">
        <v>119</v>
      </c>
      <c r="M30" s="53"/>
      <c r="N30" s="53"/>
      <c r="O30" s="53"/>
      <c r="P30" s="53"/>
      <c r="Q30" s="53"/>
      <c r="R30" s="53"/>
      <c r="S30" s="53"/>
      <c r="T30" s="53"/>
      <c r="U30" s="54"/>
      <c r="V30" s="5"/>
    </row>
    <row r="31" spans="1:22" x14ac:dyDescent="0.25">
      <c r="A31" s="55" t="s">
        <v>118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>
        <v>6</v>
      </c>
      <c r="H31" s="9">
        <v>7</v>
      </c>
      <c r="I31" s="9">
        <v>8</v>
      </c>
      <c r="J31" s="9">
        <v>9</v>
      </c>
      <c r="K31" s="9">
        <v>10</v>
      </c>
      <c r="L31" s="9">
        <v>11</v>
      </c>
      <c r="M31" s="9">
        <v>12</v>
      </c>
      <c r="N31" s="9">
        <v>13</v>
      </c>
      <c r="O31" s="9">
        <v>14</v>
      </c>
      <c r="P31" s="9">
        <v>15</v>
      </c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5"/>
    </row>
    <row r="32" spans="1:22" x14ac:dyDescent="0.25">
      <c r="A32" s="56" t="s">
        <v>117</v>
      </c>
      <c r="B32" s="9" t="s">
        <v>115</v>
      </c>
      <c r="C32" s="9" t="s">
        <v>20</v>
      </c>
      <c r="D32" s="9" t="s">
        <v>21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26</v>
      </c>
      <c r="J32" s="9" t="s">
        <v>27</v>
      </c>
      <c r="K32" s="9" t="s">
        <v>28</v>
      </c>
      <c r="L32" s="9" t="s">
        <v>29</v>
      </c>
      <c r="M32" s="9" t="s">
        <v>30</v>
      </c>
      <c r="N32" s="9" t="s">
        <v>31</v>
      </c>
      <c r="O32" s="9" t="s">
        <v>32</v>
      </c>
      <c r="P32" s="9" t="s">
        <v>33</v>
      </c>
      <c r="Q32" s="9" t="s">
        <v>34</v>
      </c>
      <c r="R32" s="9" t="s">
        <v>35</v>
      </c>
      <c r="S32" s="9" t="s">
        <v>36</v>
      </c>
      <c r="T32" s="9" t="s">
        <v>37</v>
      </c>
      <c r="U32" s="9" t="s">
        <v>38</v>
      </c>
      <c r="V32" s="5"/>
    </row>
    <row r="33" spans="1:22" x14ac:dyDescent="0.25">
      <c r="A33" s="78">
        <v>1</v>
      </c>
      <c r="B33" s="67">
        <v>19.38</v>
      </c>
      <c r="C33" s="68">
        <v>32.42</v>
      </c>
      <c r="D33" s="68">
        <v>45.46</v>
      </c>
      <c r="E33" s="68">
        <v>55.2</v>
      </c>
      <c r="F33" s="68">
        <v>64.94</v>
      </c>
      <c r="G33" s="68">
        <v>74.69</v>
      </c>
      <c r="H33" s="68">
        <v>94.89</v>
      </c>
      <c r="I33" s="68">
        <v>115.1</v>
      </c>
      <c r="J33" s="68">
        <v>135.31</v>
      </c>
      <c r="K33" s="69">
        <v>241.94</v>
      </c>
      <c r="L33" s="68">
        <v>348.57</v>
      </c>
      <c r="M33" s="68">
        <v>428.65</v>
      </c>
      <c r="N33" s="68">
        <v>508.73</v>
      </c>
      <c r="O33" s="68">
        <v>588.80999999999995</v>
      </c>
      <c r="P33" s="68">
        <v>668.89</v>
      </c>
      <c r="Q33" s="68">
        <v>908.42</v>
      </c>
      <c r="R33" s="68">
        <v>1147.94</v>
      </c>
      <c r="S33" s="68">
        <v>1387.47</v>
      </c>
      <c r="T33" s="68">
        <v>1627</v>
      </c>
      <c r="U33" s="70">
        <v>1866.52</v>
      </c>
      <c r="V33" s="5"/>
    </row>
    <row r="34" spans="1:22" x14ac:dyDescent="0.25">
      <c r="A34" s="78">
        <f>+A33+1</f>
        <v>2</v>
      </c>
      <c r="B34" s="71">
        <v>26.39</v>
      </c>
      <c r="C34" s="68">
        <v>40.700000000000003</v>
      </c>
      <c r="D34" s="68">
        <v>55.01</v>
      </c>
      <c r="E34" s="68">
        <v>64.2</v>
      </c>
      <c r="F34" s="68">
        <v>73.400000000000006</v>
      </c>
      <c r="G34" s="68">
        <v>82.59</v>
      </c>
      <c r="H34" s="68">
        <v>105.82</v>
      </c>
      <c r="I34" s="68">
        <v>129.06</v>
      </c>
      <c r="J34" s="68">
        <v>152.29</v>
      </c>
      <c r="K34" s="69">
        <v>250.43</v>
      </c>
      <c r="L34" s="68">
        <v>348.57</v>
      </c>
      <c r="M34" s="68">
        <v>428.65</v>
      </c>
      <c r="N34" s="68">
        <v>508.73</v>
      </c>
      <c r="O34" s="68">
        <v>588.80999999999995</v>
      </c>
      <c r="P34" s="68">
        <v>668.89</v>
      </c>
      <c r="Q34" s="68">
        <v>908.42</v>
      </c>
      <c r="R34" s="68">
        <v>1147.94</v>
      </c>
      <c r="S34" s="68">
        <v>1387.47</v>
      </c>
      <c r="T34" s="68">
        <v>1627</v>
      </c>
      <c r="U34" s="70">
        <v>1866.52</v>
      </c>
      <c r="V34" s="5"/>
    </row>
    <row r="35" spans="1:22" x14ac:dyDescent="0.25">
      <c r="A35" s="78">
        <f t="shared" ref="A35:A62" si="1">+A34+1</f>
        <v>3</v>
      </c>
      <c r="B35" s="71">
        <v>33.409999999999997</v>
      </c>
      <c r="C35" s="68">
        <v>48.98</v>
      </c>
      <c r="D35" s="68">
        <v>64.56</v>
      </c>
      <c r="E35" s="68">
        <v>73.209999999999994</v>
      </c>
      <c r="F35" s="68">
        <v>81.849999999999994</v>
      </c>
      <c r="G35" s="68">
        <v>90.5</v>
      </c>
      <c r="H35" s="68">
        <v>116.75</v>
      </c>
      <c r="I35" s="68">
        <v>143.01</v>
      </c>
      <c r="J35" s="68">
        <v>169.27</v>
      </c>
      <c r="K35" s="69">
        <v>258.92</v>
      </c>
      <c r="L35" s="68">
        <v>348.57</v>
      </c>
      <c r="M35" s="68">
        <v>428.65</v>
      </c>
      <c r="N35" s="68">
        <v>508.73</v>
      </c>
      <c r="O35" s="68">
        <v>588.80999999999995</v>
      </c>
      <c r="P35" s="68">
        <v>668.89</v>
      </c>
      <c r="Q35" s="68">
        <v>908.42</v>
      </c>
      <c r="R35" s="68">
        <v>1147.94</v>
      </c>
      <c r="S35" s="68">
        <v>1387.47</v>
      </c>
      <c r="T35" s="68">
        <v>1627</v>
      </c>
      <c r="U35" s="70">
        <v>1866.52</v>
      </c>
      <c r="V35" s="5"/>
    </row>
    <row r="36" spans="1:22" x14ac:dyDescent="0.25">
      <c r="A36" s="78">
        <f t="shared" si="1"/>
        <v>4</v>
      </c>
      <c r="B36" s="71">
        <v>40.42</v>
      </c>
      <c r="C36" s="68">
        <v>57.27</v>
      </c>
      <c r="D36" s="68">
        <v>74.11</v>
      </c>
      <c r="E36" s="68">
        <v>82.21</v>
      </c>
      <c r="F36" s="68">
        <v>90.3</v>
      </c>
      <c r="G36" s="68">
        <v>98.4</v>
      </c>
      <c r="H36" s="68">
        <v>127.68</v>
      </c>
      <c r="I36" s="68">
        <v>156.97</v>
      </c>
      <c r="J36" s="68">
        <v>186.25</v>
      </c>
      <c r="K36" s="69">
        <v>267.41000000000003</v>
      </c>
      <c r="L36" s="68">
        <v>348.57</v>
      </c>
      <c r="M36" s="68">
        <v>428.65</v>
      </c>
      <c r="N36" s="68">
        <v>508.73</v>
      </c>
      <c r="O36" s="68">
        <v>588.80999999999995</v>
      </c>
      <c r="P36" s="68">
        <v>668.89</v>
      </c>
      <c r="Q36" s="68">
        <v>908.42</v>
      </c>
      <c r="R36" s="68">
        <v>1147.94</v>
      </c>
      <c r="S36" s="68">
        <v>1387.47</v>
      </c>
      <c r="T36" s="68">
        <v>1627</v>
      </c>
      <c r="U36" s="70">
        <v>1866.52</v>
      </c>
      <c r="V36" s="5"/>
    </row>
    <row r="37" spans="1:22" x14ac:dyDescent="0.25">
      <c r="A37" s="78">
        <f t="shared" si="1"/>
        <v>5</v>
      </c>
      <c r="B37" s="71">
        <v>49.3</v>
      </c>
      <c r="C37" s="68">
        <v>65.069999999999993</v>
      </c>
      <c r="D37" s="68">
        <v>80.84</v>
      </c>
      <c r="E37" s="68">
        <v>89.36</v>
      </c>
      <c r="F37" s="68">
        <v>97.88</v>
      </c>
      <c r="G37" s="68">
        <v>106.4</v>
      </c>
      <c r="H37" s="68">
        <v>138.18</v>
      </c>
      <c r="I37" s="68">
        <v>169.96</v>
      </c>
      <c r="J37" s="68">
        <v>201.74</v>
      </c>
      <c r="K37" s="69">
        <v>275.16000000000003</v>
      </c>
      <c r="L37" s="68">
        <v>348.57</v>
      </c>
      <c r="M37" s="68">
        <v>428.65</v>
      </c>
      <c r="N37" s="68">
        <v>508.73</v>
      </c>
      <c r="O37" s="68">
        <v>588.80999999999995</v>
      </c>
      <c r="P37" s="68">
        <v>668.89</v>
      </c>
      <c r="Q37" s="68">
        <v>908.42</v>
      </c>
      <c r="R37" s="68">
        <v>1147.94</v>
      </c>
      <c r="S37" s="68">
        <v>1387.47</v>
      </c>
      <c r="T37" s="68">
        <v>1627</v>
      </c>
      <c r="U37" s="70">
        <v>1866.52</v>
      </c>
      <c r="V37" s="5"/>
    </row>
    <row r="38" spans="1:22" x14ac:dyDescent="0.25">
      <c r="A38" s="78">
        <f t="shared" si="1"/>
        <v>6</v>
      </c>
      <c r="B38" s="71">
        <v>58.17</v>
      </c>
      <c r="C38" s="68">
        <v>72.87</v>
      </c>
      <c r="D38" s="68">
        <v>87.57</v>
      </c>
      <c r="E38" s="68">
        <v>96.51</v>
      </c>
      <c r="F38" s="68">
        <v>105.45</v>
      </c>
      <c r="G38" s="68">
        <v>114.39</v>
      </c>
      <c r="H38" s="68">
        <v>148.66999999999999</v>
      </c>
      <c r="I38" s="68">
        <v>182.95</v>
      </c>
      <c r="J38" s="68">
        <v>217.23</v>
      </c>
      <c r="K38" s="69">
        <v>282.89999999999998</v>
      </c>
      <c r="L38" s="68">
        <v>348.57</v>
      </c>
      <c r="M38" s="68">
        <v>428.65</v>
      </c>
      <c r="N38" s="68">
        <v>508.73</v>
      </c>
      <c r="O38" s="68">
        <v>588.80999999999995</v>
      </c>
      <c r="P38" s="68">
        <v>668.89</v>
      </c>
      <c r="Q38" s="68">
        <v>908.42</v>
      </c>
      <c r="R38" s="68">
        <v>1147.94</v>
      </c>
      <c r="S38" s="68">
        <v>1387.47</v>
      </c>
      <c r="T38" s="68">
        <v>1627</v>
      </c>
      <c r="U38" s="70">
        <v>1866.52</v>
      </c>
      <c r="V38" s="5"/>
    </row>
    <row r="39" spans="1:22" x14ac:dyDescent="0.25">
      <c r="A39" s="78">
        <f t="shared" si="1"/>
        <v>7</v>
      </c>
      <c r="B39" s="71">
        <v>63.46</v>
      </c>
      <c r="C39" s="68">
        <v>80.58</v>
      </c>
      <c r="D39" s="68">
        <v>97.69</v>
      </c>
      <c r="E39" s="68">
        <v>105.33</v>
      </c>
      <c r="F39" s="68">
        <v>112.98</v>
      </c>
      <c r="G39" s="68">
        <v>120.62</v>
      </c>
      <c r="H39" s="68">
        <v>153.97</v>
      </c>
      <c r="I39" s="68">
        <v>187.31</v>
      </c>
      <c r="J39" s="68">
        <v>220.66</v>
      </c>
      <c r="K39" s="69">
        <v>284.61</v>
      </c>
      <c r="L39" s="68">
        <v>348.57</v>
      </c>
      <c r="M39" s="68">
        <v>428.65</v>
      </c>
      <c r="N39" s="68">
        <v>508.73</v>
      </c>
      <c r="O39" s="68">
        <v>588.80999999999995</v>
      </c>
      <c r="P39" s="68">
        <v>668.89</v>
      </c>
      <c r="Q39" s="68">
        <v>908.42</v>
      </c>
      <c r="R39" s="68">
        <v>1147.94</v>
      </c>
      <c r="S39" s="68">
        <v>1387.47</v>
      </c>
      <c r="T39" s="68">
        <v>1627</v>
      </c>
      <c r="U39" s="70">
        <v>1866.52</v>
      </c>
      <c r="V39" s="5"/>
    </row>
    <row r="40" spans="1:22" x14ac:dyDescent="0.25">
      <c r="A40" s="78">
        <f t="shared" si="1"/>
        <v>8</v>
      </c>
      <c r="B40" s="71">
        <v>68.75</v>
      </c>
      <c r="C40" s="68">
        <v>88.28</v>
      </c>
      <c r="D40" s="68">
        <v>107.81</v>
      </c>
      <c r="E40" s="68">
        <v>114.16</v>
      </c>
      <c r="F40" s="68">
        <v>120.51</v>
      </c>
      <c r="G40" s="68">
        <v>126.86</v>
      </c>
      <c r="H40" s="68">
        <v>159.27000000000001</v>
      </c>
      <c r="I40" s="68">
        <v>191.67</v>
      </c>
      <c r="J40" s="68">
        <v>224.08</v>
      </c>
      <c r="K40" s="69">
        <v>286.33</v>
      </c>
      <c r="L40" s="68">
        <v>348.57</v>
      </c>
      <c r="M40" s="68">
        <v>428.65</v>
      </c>
      <c r="N40" s="68">
        <v>508.73</v>
      </c>
      <c r="O40" s="68">
        <v>588.80999999999995</v>
      </c>
      <c r="P40" s="68">
        <v>668.89</v>
      </c>
      <c r="Q40" s="68">
        <v>908.42</v>
      </c>
      <c r="R40" s="68">
        <v>1147.94</v>
      </c>
      <c r="S40" s="68">
        <v>1387.47</v>
      </c>
      <c r="T40" s="68">
        <v>1627</v>
      </c>
      <c r="U40" s="70">
        <v>1866.52</v>
      </c>
      <c r="V40" s="5"/>
    </row>
    <row r="41" spans="1:22" x14ac:dyDescent="0.25">
      <c r="A41" s="78">
        <f t="shared" si="1"/>
        <v>9</v>
      </c>
      <c r="B41" s="71">
        <v>74.040000000000006</v>
      </c>
      <c r="C41" s="68">
        <v>92.83</v>
      </c>
      <c r="D41" s="68">
        <v>111.61</v>
      </c>
      <c r="E41" s="68">
        <v>118.77</v>
      </c>
      <c r="F41" s="68">
        <v>125.93</v>
      </c>
      <c r="G41" s="68">
        <v>133.09</v>
      </c>
      <c r="H41" s="68">
        <v>164.56</v>
      </c>
      <c r="I41" s="68">
        <v>196.04</v>
      </c>
      <c r="J41" s="68">
        <v>227.51</v>
      </c>
      <c r="K41" s="69">
        <v>288.04000000000002</v>
      </c>
      <c r="L41" s="68">
        <v>348.57</v>
      </c>
      <c r="M41" s="68">
        <v>428.65</v>
      </c>
      <c r="N41" s="68">
        <v>508.73</v>
      </c>
      <c r="O41" s="68">
        <v>588.80999999999995</v>
      </c>
      <c r="P41" s="68">
        <v>668.89</v>
      </c>
      <c r="Q41" s="68">
        <v>908.42</v>
      </c>
      <c r="R41" s="68">
        <v>1147.94</v>
      </c>
      <c r="S41" s="68">
        <v>1387.47</v>
      </c>
      <c r="T41" s="68">
        <v>1627</v>
      </c>
      <c r="U41" s="70">
        <v>1866.52</v>
      </c>
      <c r="V41" s="5"/>
    </row>
    <row r="42" spans="1:22" x14ac:dyDescent="0.25">
      <c r="A42" s="78">
        <f t="shared" si="1"/>
        <v>10</v>
      </c>
      <c r="B42" s="71">
        <v>77.34</v>
      </c>
      <c r="C42" s="68">
        <v>96.37</v>
      </c>
      <c r="D42" s="68">
        <v>115.41</v>
      </c>
      <c r="E42" s="68">
        <v>122.41</v>
      </c>
      <c r="F42" s="68">
        <v>129.41</v>
      </c>
      <c r="G42" s="68">
        <v>136.4</v>
      </c>
      <c r="H42" s="68">
        <v>168.15</v>
      </c>
      <c r="I42" s="68">
        <v>199.91</v>
      </c>
      <c r="J42" s="68">
        <v>231.66</v>
      </c>
      <c r="K42" s="69">
        <v>290.12</v>
      </c>
      <c r="L42" s="68">
        <v>348.57</v>
      </c>
      <c r="M42" s="68">
        <v>428.65</v>
      </c>
      <c r="N42" s="68">
        <v>508.73</v>
      </c>
      <c r="O42" s="68">
        <v>588.80999999999995</v>
      </c>
      <c r="P42" s="68">
        <v>668.89</v>
      </c>
      <c r="Q42" s="68">
        <v>908.42</v>
      </c>
      <c r="R42" s="68">
        <v>1147.94</v>
      </c>
      <c r="S42" s="68">
        <v>1387.47</v>
      </c>
      <c r="T42" s="68">
        <v>1627</v>
      </c>
      <c r="U42" s="70">
        <v>1866.52</v>
      </c>
      <c r="V42" s="5"/>
    </row>
    <row r="43" spans="1:22" x14ac:dyDescent="0.25">
      <c r="A43" s="78">
        <f t="shared" si="1"/>
        <v>11</v>
      </c>
      <c r="B43" s="71">
        <v>80.63</v>
      </c>
      <c r="C43" s="68">
        <v>99.92</v>
      </c>
      <c r="D43" s="68">
        <v>119.21</v>
      </c>
      <c r="E43" s="68">
        <v>126.05</v>
      </c>
      <c r="F43" s="68">
        <v>132.88</v>
      </c>
      <c r="G43" s="68">
        <v>139.71</v>
      </c>
      <c r="H43" s="68">
        <v>171.75</v>
      </c>
      <c r="I43" s="68">
        <v>203.78</v>
      </c>
      <c r="J43" s="68">
        <v>235.81</v>
      </c>
      <c r="K43" s="69">
        <v>292.19</v>
      </c>
      <c r="L43" s="68">
        <v>348.57</v>
      </c>
      <c r="M43" s="68">
        <v>428.65</v>
      </c>
      <c r="N43" s="68">
        <v>508.73</v>
      </c>
      <c r="O43" s="68">
        <v>588.80999999999995</v>
      </c>
      <c r="P43" s="68">
        <v>668.89</v>
      </c>
      <c r="Q43" s="68">
        <v>908.42</v>
      </c>
      <c r="R43" s="68">
        <v>1147.94</v>
      </c>
      <c r="S43" s="68">
        <v>1387.47</v>
      </c>
      <c r="T43" s="68">
        <v>1627</v>
      </c>
      <c r="U43" s="70">
        <v>1866.52</v>
      </c>
      <c r="V43" s="5"/>
    </row>
    <row r="44" spans="1:22" x14ac:dyDescent="0.25">
      <c r="A44" s="78">
        <f t="shared" si="1"/>
        <v>12</v>
      </c>
      <c r="B44" s="71">
        <v>83.93</v>
      </c>
      <c r="C44" s="68">
        <v>103.47</v>
      </c>
      <c r="D44" s="68">
        <v>123.02</v>
      </c>
      <c r="E44" s="68">
        <v>129.68</v>
      </c>
      <c r="F44" s="68">
        <v>136.35</v>
      </c>
      <c r="G44" s="68">
        <v>143.02000000000001</v>
      </c>
      <c r="H44" s="68">
        <v>175.34</v>
      </c>
      <c r="I44" s="68">
        <v>207.65</v>
      </c>
      <c r="J44" s="68">
        <v>239.96</v>
      </c>
      <c r="K44" s="69">
        <v>294.27</v>
      </c>
      <c r="L44" s="68">
        <v>348.57</v>
      </c>
      <c r="M44" s="68">
        <v>428.65</v>
      </c>
      <c r="N44" s="68">
        <v>508.73</v>
      </c>
      <c r="O44" s="68">
        <v>588.80999999999995</v>
      </c>
      <c r="P44" s="68">
        <v>668.89</v>
      </c>
      <c r="Q44" s="68">
        <v>908.42</v>
      </c>
      <c r="R44" s="68">
        <v>1147.94</v>
      </c>
      <c r="S44" s="68">
        <v>1387.47</v>
      </c>
      <c r="T44" s="68">
        <v>1627</v>
      </c>
      <c r="U44" s="70">
        <v>1866.52</v>
      </c>
      <c r="V44" s="5"/>
    </row>
    <row r="45" spans="1:22" x14ac:dyDescent="0.25">
      <c r="A45" s="78">
        <f t="shared" si="1"/>
        <v>13</v>
      </c>
      <c r="B45" s="71">
        <v>87.23</v>
      </c>
      <c r="C45" s="68">
        <v>107.02</v>
      </c>
      <c r="D45" s="68">
        <v>126.82</v>
      </c>
      <c r="E45" s="68">
        <v>133.32</v>
      </c>
      <c r="F45" s="68">
        <v>139.83000000000001</v>
      </c>
      <c r="G45" s="68">
        <v>146.34</v>
      </c>
      <c r="H45" s="68">
        <v>178.93</v>
      </c>
      <c r="I45" s="68">
        <v>211.52</v>
      </c>
      <c r="J45" s="68">
        <v>244.11</v>
      </c>
      <c r="K45" s="69">
        <v>296.33999999999997</v>
      </c>
      <c r="L45" s="68">
        <v>348.57</v>
      </c>
      <c r="M45" s="68">
        <v>428.65</v>
      </c>
      <c r="N45" s="68">
        <v>508.73</v>
      </c>
      <c r="O45" s="68">
        <v>588.80999999999995</v>
      </c>
      <c r="P45" s="68">
        <v>668.89</v>
      </c>
      <c r="Q45" s="68">
        <v>908.42</v>
      </c>
      <c r="R45" s="68">
        <v>1147.94</v>
      </c>
      <c r="S45" s="68">
        <v>1387.47</v>
      </c>
      <c r="T45" s="68">
        <v>1627</v>
      </c>
      <c r="U45" s="70">
        <v>1866.52</v>
      </c>
      <c r="V45" s="5"/>
    </row>
    <row r="46" spans="1:22" x14ac:dyDescent="0.25">
      <c r="A46" s="78">
        <f t="shared" si="1"/>
        <v>14</v>
      </c>
      <c r="B46" s="71">
        <v>90.53</v>
      </c>
      <c r="C46" s="68">
        <v>110.57</v>
      </c>
      <c r="D46" s="68">
        <v>130.62</v>
      </c>
      <c r="E46" s="68">
        <v>136.96</v>
      </c>
      <c r="F46" s="68">
        <v>143.30000000000001</v>
      </c>
      <c r="G46" s="68">
        <v>149.65</v>
      </c>
      <c r="H46" s="68">
        <v>182.52</v>
      </c>
      <c r="I46" s="68">
        <v>215.39</v>
      </c>
      <c r="J46" s="68">
        <v>248.26</v>
      </c>
      <c r="K46" s="69">
        <v>298.42</v>
      </c>
      <c r="L46" s="68">
        <v>348.57</v>
      </c>
      <c r="M46" s="68">
        <v>428.65</v>
      </c>
      <c r="N46" s="68">
        <v>508.73</v>
      </c>
      <c r="O46" s="68">
        <v>588.80999999999995</v>
      </c>
      <c r="P46" s="68">
        <v>668.89</v>
      </c>
      <c r="Q46" s="68">
        <v>908.42</v>
      </c>
      <c r="R46" s="68">
        <v>1147.94</v>
      </c>
      <c r="S46" s="68">
        <v>1387.47</v>
      </c>
      <c r="T46" s="68">
        <v>1627</v>
      </c>
      <c r="U46" s="70">
        <v>1866.52</v>
      </c>
      <c r="V46" s="5"/>
    </row>
    <row r="47" spans="1:22" x14ac:dyDescent="0.25">
      <c r="A47" s="78">
        <f t="shared" si="1"/>
        <v>15</v>
      </c>
      <c r="B47" s="71">
        <v>93.82</v>
      </c>
      <c r="C47" s="68">
        <v>114.12</v>
      </c>
      <c r="D47" s="68">
        <v>134.41999999999999</v>
      </c>
      <c r="E47" s="68">
        <v>140.6</v>
      </c>
      <c r="F47" s="68">
        <v>146.78</v>
      </c>
      <c r="G47" s="68">
        <v>152.96</v>
      </c>
      <c r="H47" s="68">
        <v>186.11</v>
      </c>
      <c r="I47" s="68">
        <v>219.26</v>
      </c>
      <c r="J47" s="68">
        <v>252.41</v>
      </c>
      <c r="K47" s="69">
        <v>300.49</v>
      </c>
      <c r="L47" s="68">
        <v>348.57</v>
      </c>
      <c r="M47" s="68">
        <v>428.65</v>
      </c>
      <c r="N47" s="68">
        <v>508.73</v>
      </c>
      <c r="O47" s="68">
        <v>588.80999999999995</v>
      </c>
      <c r="P47" s="68">
        <v>668.89</v>
      </c>
      <c r="Q47" s="68">
        <v>908.42</v>
      </c>
      <c r="R47" s="68">
        <v>1147.94</v>
      </c>
      <c r="S47" s="68">
        <v>1387.47</v>
      </c>
      <c r="T47" s="68">
        <v>1627</v>
      </c>
      <c r="U47" s="70">
        <v>1866.52</v>
      </c>
      <c r="V47" s="5"/>
    </row>
    <row r="48" spans="1:22" x14ac:dyDescent="0.25">
      <c r="A48" s="78">
        <f t="shared" si="1"/>
        <v>16</v>
      </c>
      <c r="B48" s="71">
        <v>97.12</v>
      </c>
      <c r="C48" s="68">
        <v>117.67</v>
      </c>
      <c r="D48" s="68">
        <v>138.22</v>
      </c>
      <c r="E48" s="68">
        <v>144.24</v>
      </c>
      <c r="F48" s="68">
        <v>150.25</v>
      </c>
      <c r="G48" s="68">
        <v>156.27000000000001</v>
      </c>
      <c r="H48" s="68">
        <v>189.7</v>
      </c>
      <c r="I48" s="68">
        <v>223.13</v>
      </c>
      <c r="J48" s="68">
        <v>256.57</v>
      </c>
      <c r="K48" s="69">
        <v>302.57</v>
      </c>
      <c r="L48" s="68">
        <v>348.57</v>
      </c>
      <c r="M48" s="68">
        <v>428.65</v>
      </c>
      <c r="N48" s="68">
        <v>508.73</v>
      </c>
      <c r="O48" s="68">
        <v>588.80999999999995</v>
      </c>
      <c r="P48" s="68">
        <v>668.89</v>
      </c>
      <c r="Q48" s="68">
        <v>908.42</v>
      </c>
      <c r="R48" s="68">
        <v>1147.94</v>
      </c>
      <c r="S48" s="68">
        <v>1387.47</v>
      </c>
      <c r="T48" s="68">
        <v>1627</v>
      </c>
      <c r="U48" s="70">
        <v>1866.52</v>
      </c>
      <c r="V48" s="5"/>
    </row>
    <row r="49" spans="1:22" x14ac:dyDescent="0.25">
      <c r="A49" s="78">
        <f t="shared" si="1"/>
        <v>17</v>
      </c>
      <c r="B49" s="71">
        <v>100.42</v>
      </c>
      <c r="C49" s="68">
        <v>121.22</v>
      </c>
      <c r="D49" s="68">
        <v>142.02000000000001</v>
      </c>
      <c r="E49" s="68">
        <v>147.87</v>
      </c>
      <c r="F49" s="68">
        <v>153.72999999999999</v>
      </c>
      <c r="G49" s="68">
        <v>159.58000000000001</v>
      </c>
      <c r="H49" s="68">
        <v>193.29</v>
      </c>
      <c r="I49" s="68">
        <v>227</v>
      </c>
      <c r="J49" s="68">
        <v>260.72000000000003</v>
      </c>
      <c r="K49" s="69">
        <v>304.64</v>
      </c>
      <c r="L49" s="68">
        <v>348.57</v>
      </c>
      <c r="M49" s="68">
        <v>428.65</v>
      </c>
      <c r="N49" s="68">
        <v>508.73</v>
      </c>
      <c r="O49" s="68">
        <v>588.80999999999995</v>
      </c>
      <c r="P49" s="68">
        <v>668.89</v>
      </c>
      <c r="Q49" s="68">
        <v>908.42</v>
      </c>
      <c r="R49" s="68">
        <v>1147.94</v>
      </c>
      <c r="S49" s="68">
        <v>1387.47</v>
      </c>
      <c r="T49" s="68">
        <v>1627</v>
      </c>
      <c r="U49" s="70">
        <v>1866.52</v>
      </c>
      <c r="V49" s="5"/>
    </row>
    <row r="50" spans="1:22" x14ac:dyDescent="0.25">
      <c r="A50" s="78">
        <f t="shared" si="1"/>
        <v>18</v>
      </c>
      <c r="B50" s="71">
        <v>103.72</v>
      </c>
      <c r="C50" s="68">
        <v>124.77</v>
      </c>
      <c r="D50" s="68">
        <v>145.82</v>
      </c>
      <c r="E50" s="68">
        <v>151.51</v>
      </c>
      <c r="F50" s="68">
        <v>157.19999999999999</v>
      </c>
      <c r="G50" s="68">
        <v>162.88999999999999</v>
      </c>
      <c r="H50" s="68">
        <v>196.88</v>
      </c>
      <c r="I50" s="68">
        <v>230.87</v>
      </c>
      <c r="J50" s="68">
        <v>264.87</v>
      </c>
      <c r="K50" s="69">
        <v>306.72000000000003</v>
      </c>
      <c r="L50" s="68">
        <v>348.57</v>
      </c>
      <c r="M50" s="68">
        <v>428.65</v>
      </c>
      <c r="N50" s="68">
        <v>508.73</v>
      </c>
      <c r="O50" s="68">
        <v>588.80999999999995</v>
      </c>
      <c r="P50" s="68">
        <v>668.89</v>
      </c>
      <c r="Q50" s="68">
        <v>908.42</v>
      </c>
      <c r="R50" s="68">
        <v>1147.94</v>
      </c>
      <c r="S50" s="68">
        <v>1387.47</v>
      </c>
      <c r="T50" s="68">
        <v>1627</v>
      </c>
      <c r="U50" s="70">
        <v>1866.52</v>
      </c>
      <c r="V50" s="5"/>
    </row>
    <row r="51" spans="1:22" x14ac:dyDescent="0.25">
      <c r="A51" s="78">
        <f t="shared" si="1"/>
        <v>19</v>
      </c>
      <c r="B51" s="71">
        <v>107.01</v>
      </c>
      <c r="C51" s="68">
        <v>128.32</v>
      </c>
      <c r="D51" s="68">
        <v>149.62</v>
      </c>
      <c r="E51" s="68">
        <v>155.15</v>
      </c>
      <c r="F51" s="68">
        <v>160.68</v>
      </c>
      <c r="G51" s="68">
        <v>166.2</v>
      </c>
      <c r="H51" s="68">
        <v>200.47</v>
      </c>
      <c r="I51" s="68">
        <v>234.75</v>
      </c>
      <c r="J51" s="68">
        <v>269.02</v>
      </c>
      <c r="K51" s="69">
        <v>308.79000000000002</v>
      </c>
      <c r="L51" s="68">
        <v>348.57</v>
      </c>
      <c r="M51" s="68">
        <v>428.65</v>
      </c>
      <c r="N51" s="68">
        <v>508.73</v>
      </c>
      <c r="O51" s="68">
        <v>588.80999999999995</v>
      </c>
      <c r="P51" s="68">
        <v>668.89</v>
      </c>
      <c r="Q51" s="68">
        <v>908.42</v>
      </c>
      <c r="R51" s="68">
        <v>1147.94</v>
      </c>
      <c r="S51" s="68">
        <v>1387.47</v>
      </c>
      <c r="T51" s="68">
        <v>1627</v>
      </c>
      <c r="U51" s="70">
        <v>1866.52</v>
      </c>
      <c r="V51" s="5"/>
    </row>
    <row r="52" spans="1:22" x14ac:dyDescent="0.25">
      <c r="A52" s="78">
        <f t="shared" si="1"/>
        <v>20</v>
      </c>
      <c r="B52" s="71">
        <v>110.31</v>
      </c>
      <c r="C52" s="68">
        <v>131.87</v>
      </c>
      <c r="D52" s="68">
        <v>153.43</v>
      </c>
      <c r="E52" s="68">
        <v>158.79</v>
      </c>
      <c r="F52" s="68">
        <v>164.15</v>
      </c>
      <c r="G52" s="68">
        <v>169.51</v>
      </c>
      <c r="H52" s="68">
        <v>204.07</v>
      </c>
      <c r="I52" s="68">
        <v>238.62</v>
      </c>
      <c r="J52" s="68">
        <v>273.17</v>
      </c>
      <c r="K52" s="69">
        <v>310.87</v>
      </c>
      <c r="L52" s="68">
        <v>348.57</v>
      </c>
      <c r="M52" s="68">
        <v>428.65</v>
      </c>
      <c r="N52" s="68">
        <v>508.73</v>
      </c>
      <c r="O52" s="68">
        <v>588.80999999999995</v>
      </c>
      <c r="P52" s="68">
        <v>668.89</v>
      </c>
      <c r="Q52" s="68">
        <v>908.42</v>
      </c>
      <c r="R52" s="68">
        <v>1147.94</v>
      </c>
      <c r="S52" s="68">
        <v>1387.47</v>
      </c>
      <c r="T52" s="68">
        <v>1627</v>
      </c>
      <c r="U52" s="70">
        <v>1866.52</v>
      </c>
      <c r="V52" s="5"/>
    </row>
    <row r="53" spans="1:22" x14ac:dyDescent="0.25">
      <c r="A53" s="78">
        <f t="shared" si="1"/>
        <v>21</v>
      </c>
      <c r="B53" s="71">
        <v>113.61</v>
      </c>
      <c r="C53" s="68">
        <v>135.41999999999999</v>
      </c>
      <c r="D53" s="68">
        <v>157.22999999999999</v>
      </c>
      <c r="E53" s="68">
        <v>162.43</v>
      </c>
      <c r="F53" s="68">
        <v>167.63</v>
      </c>
      <c r="G53" s="68">
        <v>172.83</v>
      </c>
      <c r="H53" s="68">
        <v>207.66</v>
      </c>
      <c r="I53" s="68">
        <v>242.49</v>
      </c>
      <c r="J53" s="68">
        <v>277.32</v>
      </c>
      <c r="K53" s="69">
        <v>312.94</v>
      </c>
      <c r="L53" s="68">
        <v>348.57</v>
      </c>
      <c r="M53" s="68">
        <v>428.65</v>
      </c>
      <c r="N53" s="68">
        <v>508.73</v>
      </c>
      <c r="O53" s="68">
        <v>588.80999999999995</v>
      </c>
      <c r="P53" s="68">
        <v>668.89</v>
      </c>
      <c r="Q53" s="68">
        <v>908.42</v>
      </c>
      <c r="R53" s="68">
        <v>1147.94</v>
      </c>
      <c r="S53" s="68">
        <v>1387.47</v>
      </c>
      <c r="T53" s="68">
        <v>1627</v>
      </c>
      <c r="U53" s="70">
        <v>1866.52</v>
      </c>
      <c r="V53" s="5"/>
    </row>
    <row r="54" spans="1:22" x14ac:dyDescent="0.25">
      <c r="A54" s="78">
        <f t="shared" si="1"/>
        <v>22</v>
      </c>
      <c r="B54" s="71">
        <v>116.9</v>
      </c>
      <c r="C54" s="68">
        <v>138.97</v>
      </c>
      <c r="D54" s="68">
        <v>161.03</v>
      </c>
      <c r="E54" s="68">
        <v>166.06</v>
      </c>
      <c r="F54" s="68">
        <v>171.1</v>
      </c>
      <c r="G54" s="68">
        <v>176.14</v>
      </c>
      <c r="H54" s="68">
        <v>211.25</v>
      </c>
      <c r="I54" s="68">
        <v>246.36</v>
      </c>
      <c r="J54" s="68">
        <v>281.47000000000003</v>
      </c>
      <c r="K54" s="69">
        <v>315.02</v>
      </c>
      <c r="L54" s="68">
        <v>348.57</v>
      </c>
      <c r="M54" s="68">
        <v>428.65</v>
      </c>
      <c r="N54" s="68">
        <v>508.73</v>
      </c>
      <c r="O54" s="68">
        <v>588.80999999999995</v>
      </c>
      <c r="P54" s="68">
        <v>668.89</v>
      </c>
      <c r="Q54" s="68">
        <v>908.42</v>
      </c>
      <c r="R54" s="68">
        <v>1147.94</v>
      </c>
      <c r="S54" s="68">
        <v>1387.47</v>
      </c>
      <c r="T54" s="68">
        <v>1627</v>
      </c>
      <c r="U54" s="70">
        <v>1866.52</v>
      </c>
      <c r="V54" s="5"/>
    </row>
    <row r="55" spans="1:22" x14ac:dyDescent="0.25">
      <c r="A55" s="78">
        <f t="shared" si="1"/>
        <v>23</v>
      </c>
      <c r="B55" s="71">
        <v>120.2</v>
      </c>
      <c r="C55" s="68">
        <v>142.51</v>
      </c>
      <c r="D55" s="68">
        <v>164.83</v>
      </c>
      <c r="E55" s="68">
        <v>169.7</v>
      </c>
      <c r="F55" s="68">
        <v>174.58</v>
      </c>
      <c r="G55" s="68">
        <v>179.45</v>
      </c>
      <c r="H55" s="68">
        <v>214.84</v>
      </c>
      <c r="I55" s="68">
        <v>250.23</v>
      </c>
      <c r="J55" s="68">
        <v>285.62</v>
      </c>
      <c r="K55" s="69">
        <v>317.10000000000002</v>
      </c>
      <c r="L55" s="68">
        <v>348.57</v>
      </c>
      <c r="M55" s="68">
        <v>428.65</v>
      </c>
      <c r="N55" s="68">
        <v>508.73</v>
      </c>
      <c r="O55" s="68">
        <v>588.80999999999995</v>
      </c>
      <c r="P55" s="68">
        <v>668.89</v>
      </c>
      <c r="Q55" s="68">
        <v>908.42</v>
      </c>
      <c r="R55" s="68">
        <v>1147.94</v>
      </c>
      <c r="S55" s="68">
        <v>1387.47</v>
      </c>
      <c r="T55" s="68">
        <v>1627</v>
      </c>
      <c r="U55" s="70">
        <v>1866.52</v>
      </c>
      <c r="V55" s="5"/>
    </row>
    <row r="56" spans="1:22" x14ac:dyDescent="0.25">
      <c r="A56" s="78">
        <f t="shared" si="1"/>
        <v>24</v>
      </c>
      <c r="B56" s="71">
        <v>123.5</v>
      </c>
      <c r="C56" s="68">
        <v>146.06</v>
      </c>
      <c r="D56" s="68">
        <v>168.63</v>
      </c>
      <c r="E56" s="68">
        <v>173.34</v>
      </c>
      <c r="F56" s="68">
        <v>178.05</v>
      </c>
      <c r="G56" s="68">
        <v>182.76</v>
      </c>
      <c r="H56" s="68">
        <v>218.43</v>
      </c>
      <c r="I56" s="68">
        <v>254.1</v>
      </c>
      <c r="J56" s="68">
        <v>289.77</v>
      </c>
      <c r="K56" s="69">
        <v>319.17</v>
      </c>
      <c r="L56" s="68">
        <v>348.57</v>
      </c>
      <c r="M56" s="68">
        <v>428.65</v>
      </c>
      <c r="N56" s="68">
        <v>508.73</v>
      </c>
      <c r="O56" s="68">
        <v>588.80999999999995</v>
      </c>
      <c r="P56" s="68">
        <v>668.89</v>
      </c>
      <c r="Q56" s="68">
        <v>908.42</v>
      </c>
      <c r="R56" s="68">
        <v>1147.94</v>
      </c>
      <c r="S56" s="68">
        <v>1387.47</v>
      </c>
      <c r="T56" s="68">
        <v>1627</v>
      </c>
      <c r="U56" s="70">
        <v>1866.52</v>
      </c>
      <c r="V56" s="5"/>
    </row>
    <row r="57" spans="1:22" x14ac:dyDescent="0.25">
      <c r="A57" s="78">
        <f t="shared" si="1"/>
        <v>25</v>
      </c>
      <c r="B57" s="71">
        <v>126.8</v>
      </c>
      <c r="C57" s="68">
        <v>149.61000000000001</v>
      </c>
      <c r="D57" s="68">
        <v>172.43</v>
      </c>
      <c r="E57" s="68">
        <v>176.98</v>
      </c>
      <c r="F57" s="68">
        <v>181.52</v>
      </c>
      <c r="G57" s="68">
        <v>186.07</v>
      </c>
      <c r="H57" s="68">
        <v>222.02</v>
      </c>
      <c r="I57" s="68">
        <v>257.97000000000003</v>
      </c>
      <c r="J57" s="68">
        <v>293.92</v>
      </c>
      <c r="K57" s="69">
        <v>321.25</v>
      </c>
      <c r="L57" s="68">
        <v>348.57</v>
      </c>
      <c r="M57" s="68">
        <v>428.65</v>
      </c>
      <c r="N57" s="68">
        <v>508.73</v>
      </c>
      <c r="O57" s="68">
        <v>588.80999999999995</v>
      </c>
      <c r="P57" s="68">
        <v>668.89</v>
      </c>
      <c r="Q57" s="68">
        <v>908.42</v>
      </c>
      <c r="R57" s="68">
        <v>1147.94</v>
      </c>
      <c r="S57" s="68">
        <v>1387.47</v>
      </c>
      <c r="T57" s="68">
        <v>1627</v>
      </c>
      <c r="U57" s="70">
        <v>1866.52</v>
      </c>
      <c r="V57" s="5"/>
    </row>
    <row r="58" spans="1:22" x14ac:dyDescent="0.25">
      <c r="A58" s="78">
        <f t="shared" si="1"/>
        <v>26</v>
      </c>
      <c r="B58" s="71">
        <v>130.09</v>
      </c>
      <c r="C58" s="68">
        <v>153.16</v>
      </c>
      <c r="D58" s="68">
        <v>176.23</v>
      </c>
      <c r="E58" s="68">
        <v>180.62</v>
      </c>
      <c r="F58" s="68">
        <v>185</v>
      </c>
      <c r="G58" s="68">
        <v>189.38</v>
      </c>
      <c r="H58" s="68">
        <v>225.61</v>
      </c>
      <c r="I58" s="68">
        <v>261.83999999999997</v>
      </c>
      <c r="J58" s="68">
        <v>298.07</v>
      </c>
      <c r="K58" s="69">
        <v>323.32</v>
      </c>
      <c r="L58" s="68">
        <v>348.57</v>
      </c>
      <c r="M58" s="68">
        <v>428.65</v>
      </c>
      <c r="N58" s="68">
        <v>508.73</v>
      </c>
      <c r="O58" s="68">
        <v>588.80999999999995</v>
      </c>
      <c r="P58" s="68">
        <v>668.89</v>
      </c>
      <c r="Q58" s="68">
        <v>908.42</v>
      </c>
      <c r="R58" s="68">
        <v>1147.94</v>
      </c>
      <c r="S58" s="68">
        <v>1387.47</v>
      </c>
      <c r="T58" s="68">
        <v>1627</v>
      </c>
      <c r="U58" s="70">
        <v>1866.52</v>
      </c>
      <c r="V58" s="5"/>
    </row>
    <row r="59" spans="1:22" x14ac:dyDescent="0.25">
      <c r="A59" s="78">
        <f t="shared" si="1"/>
        <v>27</v>
      </c>
      <c r="B59" s="71">
        <v>133.38999999999999</v>
      </c>
      <c r="C59" s="68">
        <v>156.71</v>
      </c>
      <c r="D59" s="68">
        <v>180.03</v>
      </c>
      <c r="E59" s="68">
        <v>184.25</v>
      </c>
      <c r="F59" s="68">
        <v>188.47</v>
      </c>
      <c r="G59" s="68">
        <v>192.69</v>
      </c>
      <c r="H59" s="68">
        <v>229.2</v>
      </c>
      <c r="I59" s="68">
        <v>265.70999999999998</v>
      </c>
      <c r="J59" s="68">
        <v>302.22000000000003</v>
      </c>
      <c r="K59" s="69">
        <v>325.39999999999998</v>
      </c>
      <c r="L59" s="68">
        <v>348.57</v>
      </c>
      <c r="M59" s="68">
        <v>428.65</v>
      </c>
      <c r="N59" s="68">
        <v>508.73</v>
      </c>
      <c r="O59" s="68">
        <v>588.80999999999995</v>
      </c>
      <c r="P59" s="68">
        <v>668.89</v>
      </c>
      <c r="Q59" s="68">
        <v>908.42</v>
      </c>
      <c r="R59" s="68">
        <v>1147.94</v>
      </c>
      <c r="S59" s="68">
        <v>1387.47</v>
      </c>
      <c r="T59" s="68">
        <v>1627</v>
      </c>
      <c r="U59" s="70">
        <v>1866.52</v>
      </c>
      <c r="V59" s="5"/>
    </row>
    <row r="60" spans="1:22" x14ac:dyDescent="0.25">
      <c r="A60" s="78">
        <f t="shared" si="1"/>
        <v>28</v>
      </c>
      <c r="B60" s="71">
        <v>136.69</v>
      </c>
      <c r="C60" s="68">
        <v>160.26</v>
      </c>
      <c r="D60" s="68">
        <v>183.84</v>
      </c>
      <c r="E60" s="68">
        <v>187.89</v>
      </c>
      <c r="F60" s="68">
        <v>191.95</v>
      </c>
      <c r="G60" s="68">
        <v>196.01</v>
      </c>
      <c r="H60" s="68">
        <v>232.79</v>
      </c>
      <c r="I60" s="68">
        <v>269.58</v>
      </c>
      <c r="J60" s="68">
        <v>306.37</v>
      </c>
      <c r="K60" s="69">
        <v>327.47000000000003</v>
      </c>
      <c r="L60" s="68">
        <v>348.57</v>
      </c>
      <c r="M60" s="68">
        <v>428.65</v>
      </c>
      <c r="N60" s="68">
        <v>508.73</v>
      </c>
      <c r="O60" s="68">
        <v>588.80999999999995</v>
      </c>
      <c r="P60" s="68">
        <v>668.89</v>
      </c>
      <c r="Q60" s="68">
        <v>908.42</v>
      </c>
      <c r="R60" s="68">
        <v>1147.94</v>
      </c>
      <c r="S60" s="68">
        <v>1387.47</v>
      </c>
      <c r="T60" s="68">
        <v>1627</v>
      </c>
      <c r="U60" s="70">
        <v>1866.52</v>
      </c>
      <c r="V60" s="5"/>
    </row>
    <row r="61" spans="1:22" x14ac:dyDescent="0.25">
      <c r="A61" s="78">
        <f t="shared" si="1"/>
        <v>29</v>
      </c>
      <c r="B61" s="71">
        <v>139.97999999999999</v>
      </c>
      <c r="C61" s="68">
        <v>163.81</v>
      </c>
      <c r="D61" s="68">
        <v>187.64</v>
      </c>
      <c r="E61" s="68">
        <v>191.53</v>
      </c>
      <c r="F61" s="68">
        <v>195.42</v>
      </c>
      <c r="G61" s="68">
        <v>199.32</v>
      </c>
      <c r="H61" s="68">
        <v>236.39</v>
      </c>
      <c r="I61" s="68">
        <v>273.45999999999998</v>
      </c>
      <c r="J61" s="68">
        <v>310.52</v>
      </c>
      <c r="K61" s="69">
        <v>329.55</v>
      </c>
      <c r="L61" s="68">
        <v>348.57</v>
      </c>
      <c r="M61" s="68">
        <v>428.65</v>
      </c>
      <c r="N61" s="68">
        <v>508.73</v>
      </c>
      <c r="O61" s="68">
        <v>588.80999999999995</v>
      </c>
      <c r="P61" s="68">
        <v>668.89</v>
      </c>
      <c r="Q61" s="68">
        <v>908.42</v>
      </c>
      <c r="R61" s="68">
        <v>1147.94</v>
      </c>
      <c r="S61" s="68">
        <v>1387.47</v>
      </c>
      <c r="T61" s="68">
        <v>1627</v>
      </c>
      <c r="U61" s="70">
        <v>1866.52</v>
      </c>
      <c r="V61" s="5"/>
    </row>
    <row r="62" spans="1:22" x14ac:dyDescent="0.25">
      <c r="A62" s="79">
        <f t="shared" si="1"/>
        <v>30</v>
      </c>
      <c r="B62" s="72">
        <v>143.28</v>
      </c>
      <c r="C62" s="73">
        <v>167.36</v>
      </c>
      <c r="D62" s="73">
        <v>191.44</v>
      </c>
      <c r="E62" s="73">
        <v>195.17</v>
      </c>
      <c r="F62" s="73">
        <v>198.9</v>
      </c>
      <c r="G62" s="73">
        <v>202.63</v>
      </c>
      <c r="H62" s="73">
        <v>239.98</v>
      </c>
      <c r="I62" s="73">
        <v>277.33</v>
      </c>
      <c r="J62" s="73">
        <v>314.68</v>
      </c>
      <c r="K62" s="74">
        <v>331.62</v>
      </c>
      <c r="L62" s="73">
        <v>348.57</v>
      </c>
      <c r="M62" s="73">
        <v>428.65</v>
      </c>
      <c r="N62" s="73">
        <v>508.73</v>
      </c>
      <c r="O62" s="73">
        <v>588.80999999999995</v>
      </c>
      <c r="P62" s="73">
        <v>668.89</v>
      </c>
      <c r="Q62" s="73">
        <v>908.42</v>
      </c>
      <c r="R62" s="73">
        <v>1147.94</v>
      </c>
      <c r="S62" s="73">
        <v>1387.47</v>
      </c>
      <c r="T62" s="73">
        <v>1627</v>
      </c>
      <c r="U62" s="75">
        <v>1866.52</v>
      </c>
      <c r="V62" s="5"/>
    </row>
    <row r="63" spans="1:22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5"/>
    </row>
    <row r="64" spans="1:22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5"/>
    </row>
    <row r="65" spans="1:22" ht="18.75" x14ac:dyDescent="0.3">
      <c r="A65" s="1" t="s">
        <v>109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5"/>
    </row>
    <row r="66" spans="1:22" ht="15.75" x14ac:dyDescent="0.25">
      <c r="A66" s="80" t="s">
        <v>129</v>
      </c>
      <c r="B66" s="57"/>
      <c r="C66" s="5"/>
      <c r="D66" s="5"/>
      <c r="E66" s="5"/>
      <c r="F66" s="5"/>
      <c r="G66" s="5"/>
      <c r="H66" s="5"/>
      <c r="I66" s="5"/>
      <c r="J66" s="5"/>
      <c r="K66" s="5"/>
      <c r="L66" s="81" t="s">
        <v>130</v>
      </c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x14ac:dyDescent="0.25">
      <c r="A67" s="82" t="s">
        <v>43</v>
      </c>
      <c r="B67" s="114" t="s">
        <v>112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5" t="s">
        <v>116</v>
      </c>
      <c r="M67" s="116"/>
      <c r="N67" s="116"/>
      <c r="O67" s="116"/>
      <c r="P67" s="116"/>
      <c r="Q67" s="116"/>
      <c r="R67" s="116"/>
      <c r="S67" s="116"/>
      <c r="T67" s="116"/>
      <c r="U67" s="117"/>
      <c r="V67" s="5"/>
    </row>
    <row r="68" spans="1:22" x14ac:dyDescent="0.25">
      <c r="A68" s="50" t="s">
        <v>113</v>
      </c>
      <c r="B68" s="83">
        <v>1</v>
      </c>
      <c r="C68" s="83">
        <v>2</v>
      </c>
      <c r="D68" s="83">
        <v>3</v>
      </c>
      <c r="E68" s="83">
        <v>4</v>
      </c>
      <c r="F68" s="83">
        <v>5</v>
      </c>
      <c r="G68" s="83">
        <v>6</v>
      </c>
      <c r="H68" s="83">
        <v>7</v>
      </c>
      <c r="I68" s="83">
        <v>8</v>
      </c>
      <c r="J68" s="83">
        <v>9</v>
      </c>
      <c r="K68" s="83">
        <v>10</v>
      </c>
      <c r="L68" s="83">
        <v>11</v>
      </c>
      <c r="M68" s="83">
        <v>12</v>
      </c>
      <c r="N68" s="83">
        <v>13</v>
      </c>
      <c r="O68" s="83">
        <v>14</v>
      </c>
      <c r="P68" s="83">
        <v>15</v>
      </c>
      <c r="Q68" s="83">
        <v>16</v>
      </c>
      <c r="R68" s="83">
        <v>17</v>
      </c>
      <c r="S68" s="83">
        <v>18</v>
      </c>
      <c r="T68" s="83">
        <v>19</v>
      </c>
      <c r="U68" s="83">
        <v>20</v>
      </c>
      <c r="V68" s="5"/>
    </row>
    <row r="69" spans="1:22" x14ac:dyDescent="0.25">
      <c r="A69" s="46" t="s">
        <v>114</v>
      </c>
      <c r="B69" s="83" t="s">
        <v>115</v>
      </c>
      <c r="C69" s="83" t="s">
        <v>20</v>
      </c>
      <c r="D69" s="83" t="s">
        <v>21</v>
      </c>
      <c r="E69" s="83" t="s">
        <v>22</v>
      </c>
      <c r="F69" s="83" t="s">
        <v>23</v>
      </c>
      <c r="G69" s="83" t="s">
        <v>24</v>
      </c>
      <c r="H69" s="83" t="s">
        <v>25</v>
      </c>
      <c r="I69" s="83" t="s">
        <v>26</v>
      </c>
      <c r="J69" s="83" t="s">
        <v>27</v>
      </c>
      <c r="K69" s="83" t="s">
        <v>28</v>
      </c>
      <c r="L69" s="83" t="s">
        <v>29</v>
      </c>
      <c r="M69" s="83" t="s">
        <v>30</v>
      </c>
      <c r="N69" s="83" t="s">
        <v>31</v>
      </c>
      <c r="O69" s="83" t="s">
        <v>32</v>
      </c>
      <c r="P69" s="83" t="s">
        <v>33</v>
      </c>
      <c r="Q69" s="83" t="s">
        <v>34</v>
      </c>
      <c r="R69" s="83" t="s">
        <v>35</v>
      </c>
      <c r="S69" s="83" t="s">
        <v>36</v>
      </c>
      <c r="T69" s="83" t="s">
        <v>37</v>
      </c>
      <c r="U69" s="83" t="s">
        <v>38</v>
      </c>
      <c r="V69" s="5"/>
    </row>
    <row r="70" spans="1:22" x14ac:dyDescent="0.25">
      <c r="A70" s="11">
        <v>1</v>
      </c>
      <c r="B70" s="92">
        <v>43.44</v>
      </c>
      <c r="C70" s="93">
        <v>50.16</v>
      </c>
      <c r="D70" s="93">
        <v>56.89</v>
      </c>
      <c r="E70" s="93">
        <v>67.56</v>
      </c>
      <c r="F70" s="93">
        <v>78.239999999999995</v>
      </c>
      <c r="G70" s="93">
        <v>88.91</v>
      </c>
      <c r="H70" s="93">
        <v>113.09</v>
      </c>
      <c r="I70" s="93">
        <v>137.26</v>
      </c>
      <c r="J70" s="93">
        <v>161.44</v>
      </c>
      <c r="K70" s="94">
        <v>243.75</v>
      </c>
      <c r="L70" s="95">
        <v>326.06</v>
      </c>
      <c r="M70" s="95">
        <v>386.31</v>
      </c>
      <c r="N70" s="95">
        <v>446.56</v>
      </c>
      <c r="O70" s="95">
        <v>506.81</v>
      </c>
      <c r="P70" s="95">
        <v>567.05999999999995</v>
      </c>
      <c r="Q70" s="95">
        <v>762.91</v>
      </c>
      <c r="R70" s="95">
        <v>958.76</v>
      </c>
      <c r="S70" s="95">
        <v>1154.6099999999999</v>
      </c>
      <c r="T70" s="95">
        <v>1350.46</v>
      </c>
      <c r="U70" s="96">
        <v>1546.31</v>
      </c>
      <c r="V70" s="5"/>
    </row>
    <row r="71" spans="1:22" x14ac:dyDescent="0.25">
      <c r="A71" s="11">
        <f>+A70+1</f>
        <v>2</v>
      </c>
      <c r="B71" s="97">
        <v>50.19</v>
      </c>
      <c r="C71" s="93">
        <v>58.81</v>
      </c>
      <c r="D71" s="93">
        <v>67.42</v>
      </c>
      <c r="E71" s="93">
        <v>77.790000000000006</v>
      </c>
      <c r="F71" s="93">
        <v>88.17</v>
      </c>
      <c r="G71" s="93">
        <v>98.54</v>
      </c>
      <c r="H71" s="93">
        <v>122.16</v>
      </c>
      <c r="I71" s="93">
        <v>145.78</v>
      </c>
      <c r="J71" s="93">
        <v>169.4</v>
      </c>
      <c r="K71" s="94">
        <v>247.73</v>
      </c>
      <c r="L71" s="95">
        <v>326.06</v>
      </c>
      <c r="M71" s="95">
        <v>386.31</v>
      </c>
      <c r="N71" s="95">
        <v>446.56</v>
      </c>
      <c r="O71" s="95">
        <v>506.81</v>
      </c>
      <c r="P71" s="95">
        <v>567.05999999999995</v>
      </c>
      <c r="Q71" s="95">
        <v>762.91</v>
      </c>
      <c r="R71" s="95">
        <v>958.76</v>
      </c>
      <c r="S71" s="95">
        <v>1154.6099999999999</v>
      </c>
      <c r="T71" s="95">
        <v>1350.46</v>
      </c>
      <c r="U71" s="96">
        <v>1546.31</v>
      </c>
      <c r="V71" s="5"/>
    </row>
    <row r="72" spans="1:22" x14ac:dyDescent="0.25">
      <c r="A72" s="11">
        <f t="shared" ref="A72:A99" si="2">+A71+1</f>
        <v>3</v>
      </c>
      <c r="B72" s="97">
        <v>56.95</v>
      </c>
      <c r="C72" s="93">
        <v>67.45</v>
      </c>
      <c r="D72" s="93">
        <v>77.959999999999994</v>
      </c>
      <c r="E72" s="93">
        <v>88.03</v>
      </c>
      <c r="F72" s="93">
        <v>98.1</v>
      </c>
      <c r="G72" s="93">
        <v>108.17</v>
      </c>
      <c r="H72" s="93">
        <v>131.22999999999999</v>
      </c>
      <c r="I72" s="93">
        <v>154.30000000000001</v>
      </c>
      <c r="J72" s="93">
        <v>177.36</v>
      </c>
      <c r="K72" s="94">
        <v>251.71</v>
      </c>
      <c r="L72" s="95">
        <v>326.06</v>
      </c>
      <c r="M72" s="95">
        <v>386.31</v>
      </c>
      <c r="N72" s="95">
        <v>446.56</v>
      </c>
      <c r="O72" s="95">
        <v>506.81</v>
      </c>
      <c r="P72" s="95">
        <v>567.05999999999995</v>
      </c>
      <c r="Q72" s="95">
        <v>762.91</v>
      </c>
      <c r="R72" s="95">
        <v>958.76</v>
      </c>
      <c r="S72" s="95">
        <v>1154.6099999999999</v>
      </c>
      <c r="T72" s="95">
        <v>1350.46</v>
      </c>
      <c r="U72" s="96">
        <v>1546.31</v>
      </c>
      <c r="V72" s="5"/>
    </row>
    <row r="73" spans="1:22" x14ac:dyDescent="0.25">
      <c r="A73" s="11">
        <f t="shared" si="2"/>
        <v>4</v>
      </c>
      <c r="B73" s="97">
        <v>63.7</v>
      </c>
      <c r="C73" s="93">
        <v>76.099999999999994</v>
      </c>
      <c r="D73" s="93">
        <v>88.49</v>
      </c>
      <c r="E73" s="93">
        <v>98.26</v>
      </c>
      <c r="F73" s="93">
        <v>108.03</v>
      </c>
      <c r="G73" s="93">
        <v>117.8</v>
      </c>
      <c r="H73" s="93">
        <v>140.31</v>
      </c>
      <c r="I73" s="93">
        <v>162.81</v>
      </c>
      <c r="J73" s="93">
        <v>185.32</v>
      </c>
      <c r="K73" s="94">
        <v>255.69</v>
      </c>
      <c r="L73" s="95">
        <v>326.06</v>
      </c>
      <c r="M73" s="95">
        <v>386.31</v>
      </c>
      <c r="N73" s="95">
        <v>446.56</v>
      </c>
      <c r="O73" s="95">
        <v>506.81</v>
      </c>
      <c r="P73" s="95">
        <v>567.05999999999995</v>
      </c>
      <c r="Q73" s="95">
        <v>762.91</v>
      </c>
      <c r="R73" s="95">
        <v>958.76</v>
      </c>
      <c r="S73" s="95">
        <v>1154.6099999999999</v>
      </c>
      <c r="T73" s="95">
        <v>1350.46</v>
      </c>
      <c r="U73" s="96">
        <v>1546.31</v>
      </c>
      <c r="V73" s="5"/>
    </row>
    <row r="74" spans="1:22" x14ac:dyDescent="0.25">
      <c r="A74" s="11">
        <f t="shared" si="2"/>
        <v>5</v>
      </c>
      <c r="B74" s="97">
        <v>69.95</v>
      </c>
      <c r="C74" s="93">
        <v>82.7</v>
      </c>
      <c r="D74" s="93">
        <v>95.44</v>
      </c>
      <c r="E74" s="93">
        <v>105.7</v>
      </c>
      <c r="F74" s="93">
        <v>115.97</v>
      </c>
      <c r="G74" s="93">
        <v>126.23</v>
      </c>
      <c r="H74" s="93">
        <v>149.16999999999999</v>
      </c>
      <c r="I74" s="93">
        <v>172.12</v>
      </c>
      <c r="J74" s="93">
        <v>195.06</v>
      </c>
      <c r="K74" s="94">
        <v>260.56</v>
      </c>
      <c r="L74" s="95">
        <v>326.06</v>
      </c>
      <c r="M74" s="95">
        <v>386.31</v>
      </c>
      <c r="N74" s="95">
        <v>446.56</v>
      </c>
      <c r="O74" s="95">
        <v>506.81</v>
      </c>
      <c r="P74" s="95">
        <v>567.05999999999995</v>
      </c>
      <c r="Q74" s="95">
        <v>762.91</v>
      </c>
      <c r="R74" s="95">
        <v>958.76</v>
      </c>
      <c r="S74" s="95">
        <v>1154.6099999999999</v>
      </c>
      <c r="T74" s="95">
        <v>1350.46</v>
      </c>
      <c r="U74" s="96">
        <v>1546.31</v>
      </c>
      <c r="V74" s="5"/>
    </row>
    <row r="75" spans="1:22" x14ac:dyDescent="0.25">
      <c r="A75" s="11">
        <f t="shared" si="2"/>
        <v>6</v>
      </c>
      <c r="B75" s="97">
        <v>76.2</v>
      </c>
      <c r="C75" s="93">
        <v>89.3</v>
      </c>
      <c r="D75" s="93">
        <v>102.39</v>
      </c>
      <c r="E75" s="93">
        <v>113.15</v>
      </c>
      <c r="F75" s="93">
        <v>123.9</v>
      </c>
      <c r="G75" s="93">
        <v>134.66</v>
      </c>
      <c r="H75" s="93">
        <v>158.04</v>
      </c>
      <c r="I75" s="93">
        <v>181.42</v>
      </c>
      <c r="J75" s="93">
        <v>204.8</v>
      </c>
      <c r="K75" s="94">
        <v>265.43</v>
      </c>
      <c r="L75" s="95">
        <v>326.06</v>
      </c>
      <c r="M75" s="95">
        <v>386.31</v>
      </c>
      <c r="N75" s="95">
        <v>446.56</v>
      </c>
      <c r="O75" s="95">
        <v>506.81</v>
      </c>
      <c r="P75" s="95">
        <v>567.05999999999995</v>
      </c>
      <c r="Q75" s="95">
        <v>762.91</v>
      </c>
      <c r="R75" s="95">
        <v>958.76</v>
      </c>
      <c r="S75" s="95">
        <v>1154.6099999999999</v>
      </c>
      <c r="T75" s="95">
        <v>1350.46</v>
      </c>
      <c r="U75" s="96">
        <v>1546.31</v>
      </c>
      <c r="V75" s="5"/>
    </row>
    <row r="76" spans="1:22" x14ac:dyDescent="0.25">
      <c r="A76" s="11">
        <f t="shared" si="2"/>
        <v>7</v>
      </c>
      <c r="B76" s="97">
        <v>77.98</v>
      </c>
      <c r="C76" s="93">
        <v>92.06</v>
      </c>
      <c r="D76" s="93">
        <v>106.13</v>
      </c>
      <c r="E76" s="93">
        <v>116.12</v>
      </c>
      <c r="F76" s="93">
        <v>126.1</v>
      </c>
      <c r="G76" s="93">
        <v>136.08000000000001</v>
      </c>
      <c r="H76" s="93">
        <v>159.29</v>
      </c>
      <c r="I76" s="93">
        <v>182.49</v>
      </c>
      <c r="J76" s="93">
        <v>205.7</v>
      </c>
      <c r="K76" s="94">
        <v>265.88</v>
      </c>
      <c r="L76" s="95">
        <v>326.06</v>
      </c>
      <c r="M76" s="95">
        <v>386.31</v>
      </c>
      <c r="N76" s="95">
        <v>446.56</v>
      </c>
      <c r="O76" s="95">
        <v>506.81</v>
      </c>
      <c r="P76" s="95">
        <v>567.05999999999995</v>
      </c>
      <c r="Q76" s="95">
        <v>762.91</v>
      </c>
      <c r="R76" s="95">
        <v>958.76</v>
      </c>
      <c r="S76" s="95">
        <v>1154.6099999999999</v>
      </c>
      <c r="T76" s="95">
        <v>1350.46</v>
      </c>
      <c r="U76" s="96">
        <v>1546.31</v>
      </c>
      <c r="V76" s="5"/>
    </row>
    <row r="77" spans="1:22" x14ac:dyDescent="0.25">
      <c r="A77" s="11">
        <f t="shared" si="2"/>
        <v>8</v>
      </c>
      <c r="B77" s="97">
        <v>79.77</v>
      </c>
      <c r="C77" s="93">
        <v>94.82</v>
      </c>
      <c r="D77" s="93">
        <v>109.88</v>
      </c>
      <c r="E77" s="93">
        <v>119.08</v>
      </c>
      <c r="F77" s="93">
        <v>128.29</v>
      </c>
      <c r="G77" s="93">
        <v>137.5</v>
      </c>
      <c r="H77" s="93">
        <v>160.53</v>
      </c>
      <c r="I77" s="93">
        <v>183.57</v>
      </c>
      <c r="J77" s="93">
        <v>206.6</v>
      </c>
      <c r="K77" s="94">
        <v>266.33</v>
      </c>
      <c r="L77" s="95">
        <v>326.06</v>
      </c>
      <c r="M77" s="95">
        <v>386.31</v>
      </c>
      <c r="N77" s="95">
        <v>446.56</v>
      </c>
      <c r="O77" s="95">
        <v>506.81</v>
      </c>
      <c r="P77" s="95">
        <v>567.05999999999995</v>
      </c>
      <c r="Q77" s="95">
        <v>762.91</v>
      </c>
      <c r="R77" s="95">
        <v>958.76</v>
      </c>
      <c r="S77" s="95">
        <v>1154.6099999999999</v>
      </c>
      <c r="T77" s="95">
        <v>1350.46</v>
      </c>
      <c r="U77" s="96">
        <v>1546.31</v>
      </c>
      <c r="V77" s="5"/>
    </row>
    <row r="78" spans="1:22" x14ac:dyDescent="0.25">
      <c r="A78" s="11">
        <f t="shared" si="2"/>
        <v>9</v>
      </c>
      <c r="B78" s="97">
        <v>81.55</v>
      </c>
      <c r="C78" s="93">
        <v>97.59</v>
      </c>
      <c r="D78" s="93">
        <v>113.62</v>
      </c>
      <c r="E78" s="93">
        <v>122.05</v>
      </c>
      <c r="F78" s="93">
        <v>130.49</v>
      </c>
      <c r="G78" s="93">
        <v>138.91999999999999</v>
      </c>
      <c r="H78" s="93">
        <v>161.78</v>
      </c>
      <c r="I78" s="93">
        <v>184.64</v>
      </c>
      <c r="J78" s="93">
        <v>207.5</v>
      </c>
      <c r="K78" s="94">
        <v>266.77999999999997</v>
      </c>
      <c r="L78" s="95">
        <v>326.06</v>
      </c>
      <c r="M78" s="95">
        <v>386.31</v>
      </c>
      <c r="N78" s="95">
        <v>446.56</v>
      </c>
      <c r="O78" s="95">
        <v>506.81</v>
      </c>
      <c r="P78" s="95">
        <v>567.05999999999995</v>
      </c>
      <c r="Q78" s="95">
        <v>762.91</v>
      </c>
      <c r="R78" s="95">
        <v>958.76</v>
      </c>
      <c r="S78" s="95">
        <v>1154.6099999999999</v>
      </c>
      <c r="T78" s="95">
        <v>1350.46</v>
      </c>
      <c r="U78" s="96">
        <v>1546.31</v>
      </c>
      <c r="V78" s="5"/>
    </row>
    <row r="79" spans="1:22" x14ac:dyDescent="0.25">
      <c r="A79" s="11">
        <f t="shared" si="2"/>
        <v>10</v>
      </c>
      <c r="B79" s="97">
        <v>83.1</v>
      </c>
      <c r="C79" s="93">
        <v>99.02</v>
      </c>
      <c r="D79" s="93">
        <v>114.94</v>
      </c>
      <c r="E79" s="93">
        <v>123.28</v>
      </c>
      <c r="F79" s="93">
        <v>131.62</v>
      </c>
      <c r="G79" s="93">
        <v>139.96</v>
      </c>
      <c r="H79" s="93">
        <v>162.78</v>
      </c>
      <c r="I79" s="93">
        <v>185.59</v>
      </c>
      <c r="J79" s="93">
        <v>208.4</v>
      </c>
      <c r="K79" s="94">
        <v>267.23</v>
      </c>
      <c r="L79" s="95">
        <v>326.06</v>
      </c>
      <c r="M79" s="95">
        <v>386.31</v>
      </c>
      <c r="N79" s="95">
        <v>446.56</v>
      </c>
      <c r="O79" s="95">
        <v>506.81</v>
      </c>
      <c r="P79" s="95">
        <v>567.05999999999995</v>
      </c>
      <c r="Q79" s="95">
        <v>762.91</v>
      </c>
      <c r="R79" s="95">
        <v>958.76</v>
      </c>
      <c r="S79" s="95">
        <v>1154.6099999999999</v>
      </c>
      <c r="T79" s="95">
        <v>1350.46</v>
      </c>
      <c r="U79" s="96">
        <v>1546.31</v>
      </c>
      <c r="V79" s="5"/>
    </row>
    <row r="80" spans="1:22" x14ac:dyDescent="0.25">
      <c r="A80" s="11">
        <f t="shared" si="2"/>
        <v>11</v>
      </c>
      <c r="B80" s="97">
        <v>84.65</v>
      </c>
      <c r="C80" s="93">
        <v>100.46</v>
      </c>
      <c r="D80" s="93">
        <v>116.27</v>
      </c>
      <c r="E80" s="93">
        <v>124.51</v>
      </c>
      <c r="F80" s="93">
        <v>132.76</v>
      </c>
      <c r="G80" s="93">
        <v>141.01</v>
      </c>
      <c r="H80" s="93">
        <v>163.77000000000001</v>
      </c>
      <c r="I80" s="93">
        <v>186.54</v>
      </c>
      <c r="J80" s="93">
        <v>209.3</v>
      </c>
      <c r="K80" s="94">
        <v>267.68</v>
      </c>
      <c r="L80" s="95">
        <v>326.06</v>
      </c>
      <c r="M80" s="95">
        <v>386.31</v>
      </c>
      <c r="N80" s="95">
        <v>446.56</v>
      </c>
      <c r="O80" s="95">
        <v>506.81</v>
      </c>
      <c r="P80" s="95">
        <v>567.05999999999995</v>
      </c>
      <c r="Q80" s="95">
        <v>762.91</v>
      </c>
      <c r="R80" s="95">
        <v>958.76</v>
      </c>
      <c r="S80" s="95">
        <v>1154.6099999999999</v>
      </c>
      <c r="T80" s="95">
        <v>1350.46</v>
      </c>
      <c r="U80" s="96">
        <v>1546.31</v>
      </c>
      <c r="V80" s="5"/>
    </row>
    <row r="81" spans="1:22" x14ac:dyDescent="0.25">
      <c r="A81" s="11">
        <f t="shared" si="2"/>
        <v>12</v>
      </c>
      <c r="B81" s="97">
        <v>86.2</v>
      </c>
      <c r="C81" s="93">
        <v>101.89</v>
      </c>
      <c r="D81" s="93">
        <v>117.59</v>
      </c>
      <c r="E81" s="93">
        <v>125.74</v>
      </c>
      <c r="F81" s="93">
        <v>133.9</v>
      </c>
      <c r="G81" s="93">
        <v>142.05000000000001</v>
      </c>
      <c r="H81" s="93">
        <v>164.77</v>
      </c>
      <c r="I81" s="93">
        <v>187.48</v>
      </c>
      <c r="J81" s="93">
        <v>210.2</v>
      </c>
      <c r="K81" s="94">
        <v>268.13</v>
      </c>
      <c r="L81" s="95">
        <v>326.06</v>
      </c>
      <c r="M81" s="95">
        <v>386.31</v>
      </c>
      <c r="N81" s="95">
        <v>446.56</v>
      </c>
      <c r="O81" s="95">
        <v>506.81</v>
      </c>
      <c r="P81" s="95">
        <v>567.05999999999995</v>
      </c>
      <c r="Q81" s="95">
        <v>762.91</v>
      </c>
      <c r="R81" s="95">
        <v>958.76</v>
      </c>
      <c r="S81" s="95">
        <v>1154.6099999999999</v>
      </c>
      <c r="T81" s="95">
        <v>1350.46</v>
      </c>
      <c r="U81" s="96">
        <v>1546.31</v>
      </c>
      <c r="V81" s="5"/>
    </row>
    <row r="82" spans="1:22" x14ac:dyDescent="0.25">
      <c r="A82" s="11">
        <f t="shared" si="2"/>
        <v>13</v>
      </c>
      <c r="B82" s="97">
        <v>87.75</v>
      </c>
      <c r="C82" s="93">
        <v>103.33</v>
      </c>
      <c r="D82" s="93">
        <v>118.91</v>
      </c>
      <c r="E82" s="93">
        <v>126.97</v>
      </c>
      <c r="F82" s="93">
        <v>135.03</v>
      </c>
      <c r="G82" s="93">
        <v>143.09</v>
      </c>
      <c r="H82" s="93">
        <v>165.76</v>
      </c>
      <c r="I82" s="93">
        <v>188.43</v>
      </c>
      <c r="J82" s="93">
        <v>211.1</v>
      </c>
      <c r="K82" s="94">
        <v>268.58</v>
      </c>
      <c r="L82" s="95">
        <v>326.06</v>
      </c>
      <c r="M82" s="95">
        <v>386.31</v>
      </c>
      <c r="N82" s="95">
        <v>446.56</v>
      </c>
      <c r="O82" s="95">
        <v>506.81</v>
      </c>
      <c r="P82" s="95">
        <v>567.05999999999995</v>
      </c>
      <c r="Q82" s="95">
        <v>762.91</v>
      </c>
      <c r="R82" s="95">
        <v>958.76</v>
      </c>
      <c r="S82" s="95">
        <v>1154.6099999999999</v>
      </c>
      <c r="T82" s="95">
        <v>1350.46</v>
      </c>
      <c r="U82" s="96">
        <v>1546.31</v>
      </c>
      <c r="V82" s="5"/>
    </row>
    <row r="83" spans="1:22" x14ac:dyDescent="0.25">
      <c r="A83" s="11">
        <f t="shared" si="2"/>
        <v>14</v>
      </c>
      <c r="B83" s="97">
        <v>89.3</v>
      </c>
      <c r="C83" s="93">
        <v>104.77</v>
      </c>
      <c r="D83" s="93">
        <v>120.24</v>
      </c>
      <c r="E83" s="93">
        <v>128.19999999999999</v>
      </c>
      <c r="F83" s="93">
        <v>136.16999999999999</v>
      </c>
      <c r="G83" s="93">
        <v>144.13999999999999</v>
      </c>
      <c r="H83" s="93">
        <v>166.76</v>
      </c>
      <c r="I83" s="93">
        <v>189.38</v>
      </c>
      <c r="J83" s="93">
        <v>212</v>
      </c>
      <c r="K83" s="94">
        <v>269.02999999999997</v>
      </c>
      <c r="L83" s="95">
        <v>326.06</v>
      </c>
      <c r="M83" s="95">
        <v>386.31</v>
      </c>
      <c r="N83" s="95">
        <v>446.56</v>
      </c>
      <c r="O83" s="95">
        <v>506.81</v>
      </c>
      <c r="P83" s="95">
        <v>567.05999999999995</v>
      </c>
      <c r="Q83" s="95">
        <v>762.91</v>
      </c>
      <c r="R83" s="95">
        <v>958.76</v>
      </c>
      <c r="S83" s="95">
        <v>1154.6099999999999</v>
      </c>
      <c r="T83" s="95">
        <v>1350.46</v>
      </c>
      <c r="U83" s="96">
        <v>1546.31</v>
      </c>
      <c r="V83" s="5"/>
    </row>
    <row r="84" spans="1:22" x14ac:dyDescent="0.25">
      <c r="A84" s="11">
        <f t="shared" si="2"/>
        <v>15</v>
      </c>
      <c r="B84" s="97">
        <v>90.85</v>
      </c>
      <c r="C84" s="93">
        <v>106.2</v>
      </c>
      <c r="D84" s="93">
        <v>121.56</v>
      </c>
      <c r="E84" s="93">
        <v>129.43</v>
      </c>
      <c r="F84" s="93">
        <v>137.31</v>
      </c>
      <c r="G84" s="93">
        <v>145.18</v>
      </c>
      <c r="H84" s="93">
        <v>167.75</v>
      </c>
      <c r="I84" s="93">
        <v>190.33</v>
      </c>
      <c r="J84" s="93">
        <v>212.9</v>
      </c>
      <c r="K84" s="94">
        <v>269.48</v>
      </c>
      <c r="L84" s="95">
        <v>326.06</v>
      </c>
      <c r="M84" s="95">
        <v>386.31</v>
      </c>
      <c r="N84" s="95">
        <v>446.56</v>
      </c>
      <c r="O84" s="95">
        <v>506.81</v>
      </c>
      <c r="P84" s="95">
        <v>567.05999999999995</v>
      </c>
      <c r="Q84" s="95">
        <v>762.91</v>
      </c>
      <c r="R84" s="95">
        <v>958.76</v>
      </c>
      <c r="S84" s="95">
        <v>1154.6099999999999</v>
      </c>
      <c r="T84" s="95">
        <v>1350.46</v>
      </c>
      <c r="U84" s="96">
        <v>1546.31</v>
      </c>
      <c r="V84" s="5"/>
    </row>
    <row r="85" spans="1:22" x14ac:dyDescent="0.25">
      <c r="A85" s="11">
        <f t="shared" si="2"/>
        <v>16</v>
      </c>
      <c r="B85" s="97">
        <v>92.4</v>
      </c>
      <c r="C85" s="93">
        <v>107.64</v>
      </c>
      <c r="D85" s="93">
        <v>122.88</v>
      </c>
      <c r="E85" s="93">
        <v>130.66</v>
      </c>
      <c r="F85" s="93">
        <v>138.44</v>
      </c>
      <c r="G85" s="93">
        <v>146.22</v>
      </c>
      <c r="H85" s="93">
        <v>168.75</v>
      </c>
      <c r="I85" s="93">
        <v>191.27</v>
      </c>
      <c r="J85" s="93">
        <v>213.8</v>
      </c>
      <c r="K85" s="94">
        <v>269.93</v>
      </c>
      <c r="L85" s="95">
        <v>326.06</v>
      </c>
      <c r="M85" s="95">
        <v>386.31</v>
      </c>
      <c r="N85" s="95">
        <v>446.56</v>
      </c>
      <c r="O85" s="95">
        <v>506.81</v>
      </c>
      <c r="P85" s="95">
        <v>567.05999999999995</v>
      </c>
      <c r="Q85" s="95">
        <v>762.91</v>
      </c>
      <c r="R85" s="95">
        <v>958.76</v>
      </c>
      <c r="S85" s="95">
        <v>1154.6099999999999</v>
      </c>
      <c r="T85" s="95">
        <v>1350.46</v>
      </c>
      <c r="U85" s="96">
        <v>1546.31</v>
      </c>
      <c r="V85" s="5"/>
    </row>
    <row r="86" spans="1:22" x14ac:dyDescent="0.25">
      <c r="A86" s="11">
        <f t="shared" si="2"/>
        <v>17</v>
      </c>
      <c r="B86" s="97">
        <v>93.95</v>
      </c>
      <c r="C86" s="93">
        <v>109.08</v>
      </c>
      <c r="D86" s="93">
        <v>124.21</v>
      </c>
      <c r="E86" s="93">
        <v>131.88999999999999</v>
      </c>
      <c r="F86" s="93">
        <v>139.58000000000001</v>
      </c>
      <c r="G86" s="93">
        <v>147.27000000000001</v>
      </c>
      <c r="H86" s="93">
        <v>169.74</v>
      </c>
      <c r="I86" s="93">
        <v>192.22</v>
      </c>
      <c r="J86" s="93">
        <v>214.7</v>
      </c>
      <c r="K86" s="94">
        <v>270.38</v>
      </c>
      <c r="L86" s="95">
        <v>326.06</v>
      </c>
      <c r="M86" s="95">
        <v>386.31</v>
      </c>
      <c r="N86" s="95">
        <v>446.56</v>
      </c>
      <c r="O86" s="95">
        <v>506.81</v>
      </c>
      <c r="P86" s="95">
        <v>567.05999999999995</v>
      </c>
      <c r="Q86" s="95">
        <v>762.91</v>
      </c>
      <c r="R86" s="95">
        <v>958.76</v>
      </c>
      <c r="S86" s="95">
        <v>1154.6099999999999</v>
      </c>
      <c r="T86" s="95">
        <v>1350.46</v>
      </c>
      <c r="U86" s="96">
        <v>1546.31</v>
      </c>
      <c r="V86" s="5"/>
    </row>
    <row r="87" spans="1:22" x14ac:dyDescent="0.25">
      <c r="A87" s="11">
        <f t="shared" si="2"/>
        <v>18</v>
      </c>
      <c r="B87" s="97">
        <v>95.49</v>
      </c>
      <c r="C87" s="93">
        <v>110.51</v>
      </c>
      <c r="D87" s="93">
        <v>125.53</v>
      </c>
      <c r="E87" s="93">
        <v>133.12</v>
      </c>
      <c r="F87" s="93">
        <v>140.72</v>
      </c>
      <c r="G87" s="93">
        <v>148.31</v>
      </c>
      <c r="H87" s="93">
        <v>170.74</v>
      </c>
      <c r="I87" s="93">
        <v>193.17</v>
      </c>
      <c r="J87" s="93">
        <v>215.6</v>
      </c>
      <c r="K87" s="94">
        <v>270.83</v>
      </c>
      <c r="L87" s="95">
        <v>326.06</v>
      </c>
      <c r="M87" s="95">
        <v>386.31</v>
      </c>
      <c r="N87" s="95">
        <v>446.56</v>
      </c>
      <c r="O87" s="95">
        <v>506.81</v>
      </c>
      <c r="P87" s="95">
        <v>567.05999999999995</v>
      </c>
      <c r="Q87" s="95">
        <v>762.91</v>
      </c>
      <c r="R87" s="95">
        <v>958.76</v>
      </c>
      <c r="S87" s="95">
        <v>1154.6099999999999</v>
      </c>
      <c r="T87" s="95">
        <v>1350.46</v>
      </c>
      <c r="U87" s="96">
        <v>1546.31</v>
      </c>
      <c r="V87" s="5"/>
    </row>
    <row r="88" spans="1:22" x14ac:dyDescent="0.25">
      <c r="A88" s="11">
        <f t="shared" si="2"/>
        <v>19</v>
      </c>
      <c r="B88" s="97">
        <v>97.04</v>
      </c>
      <c r="C88" s="93">
        <v>111.95</v>
      </c>
      <c r="D88" s="93">
        <v>126.85</v>
      </c>
      <c r="E88" s="93">
        <v>134.35</v>
      </c>
      <c r="F88" s="93">
        <v>141.85</v>
      </c>
      <c r="G88" s="93">
        <v>149.35</v>
      </c>
      <c r="H88" s="93">
        <v>171.74</v>
      </c>
      <c r="I88" s="93">
        <v>194.12</v>
      </c>
      <c r="J88" s="93">
        <v>216.5</v>
      </c>
      <c r="K88" s="94">
        <v>271.27999999999997</v>
      </c>
      <c r="L88" s="95">
        <v>326.06</v>
      </c>
      <c r="M88" s="95">
        <v>386.31</v>
      </c>
      <c r="N88" s="95">
        <v>446.56</v>
      </c>
      <c r="O88" s="95">
        <v>506.81</v>
      </c>
      <c r="P88" s="95">
        <v>567.05999999999995</v>
      </c>
      <c r="Q88" s="95">
        <v>762.91</v>
      </c>
      <c r="R88" s="95">
        <v>958.76</v>
      </c>
      <c r="S88" s="95">
        <v>1154.6099999999999</v>
      </c>
      <c r="T88" s="95">
        <v>1350.46</v>
      </c>
      <c r="U88" s="96">
        <v>1546.31</v>
      </c>
      <c r="V88" s="5"/>
    </row>
    <row r="89" spans="1:22" x14ac:dyDescent="0.25">
      <c r="A89" s="11">
        <f t="shared" si="2"/>
        <v>20</v>
      </c>
      <c r="B89" s="97">
        <v>98.59</v>
      </c>
      <c r="C89" s="93">
        <v>113.39</v>
      </c>
      <c r="D89" s="93">
        <v>128.18</v>
      </c>
      <c r="E89" s="93">
        <v>135.58000000000001</v>
      </c>
      <c r="F89" s="93">
        <v>142.99</v>
      </c>
      <c r="G89" s="93">
        <v>150.4</v>
      </c>
      <c r="H89" s="93">
        <v>172.73</v>
      </c>
      <c r="I89" s="93">
        <v>195.07</v>
      </c>
      <c r="J89" s="93">
        <v>217.4</v>
      </c>
      <c r="K89" s="94">
        <v>271.73</v>
      </c>
      <c r="L89" s="95">
        <v>326.06</v>
      </c>
      <c r="M89" s="95">
        <v>386.31</v>
      </c>
      <c r="N89" s="95">
        <v>446.56</v>
      </c>
      <c r="O89" s="95">
        <v>506.81</v>
      </c>
      <c r="P89" s="95">
        <v>567.05999999999995</v>
      </c>
      <c r="Q89" s="95">
        <v>762.91</v>
      </c>
      <c r="R89" s="95">
        <v>958.76</v>
      </c>
      <c r="S89" s="95">
        <v>1154.6099999999999</v>
      </c>
      <c r="T89" s="95">
        <v>1350.46</v>
      </c>
      <c r="U89" s="96">
        <v>1546.31</v>
      </c>
      <c r="V89" s="5"/>
    </row>
    <row r="90" spans="1:22" x14ac:dyDescent="0.25">
      <c r="A90" s="11">
        <f t="shared" si="2"/>
        <v>21</v>
      </c>
      <c r="B90" s="97">
        <v>100.14</v>
      </c>
      <c r="C90" s="93">
        <v>114.82</v>
      </c>
      <c r="D90" s="93">
        <v>129.5</v>
      </c>
      <c r="E90" s="93">
        <v>136.81</v>
      </c>
      <c r="F90" s="93">
        <v>144.13</v>
      </c>
      <c r="G90" s="93">
        <v>151.44</v>
      </c>
      <c r="H90" s="93">
        <v>173.73</v>
      </c>
      <c r="I90" s="93">
        <v>196.01</v>
      </c>
      <c r="J90" s="93">
        <v>218.3</v>
      </c>
      <c r="K90" s="94">
        <v>272.18</v>
      </c>
      <c r="L90" s="95">
        <v>326.06</v>
      </c>
      <c r="M90" s="95">
        <v>386.31</v>
      </c>
      <c r="N90" s="95">
        <v>446.56</v>
      </c>
      <c r="O90" s="95">
        <v>506.81</v>
      </c>
      <c r="P90" s="95">
        <v>567.05999999999995</v>
      </c>
      <c r="Q90" s="95">
        <v>762.91</v>
      </c>
      <c r="R90" s="95">
        <v>958.76</v>
      </c>
      <c r="S90" s="95">
        <v>1154.6099999999999</v>
      </c>
      <c r="T90" s="95">
        <v>1350.46</v>
      </c>
      <c r="U90" s="96">
        <v>1546.31</v>
      </c>
      <c r="V90" s="5"/>
    </row>
    <row r="91" spans="1:22" x14ac:dyDescent="0.25">
      <c r="A91" s="11">
        <f t="shared" si="2"/>
        <v>22</v>
      </c>
      <c r="B91" s="97">
        <v>101.69</v>
      </c>
      <c r="C91" s="93">
        <v>116.26</v>
      </c>
      <c r="D91" s="93">
        <v>130.82</v>
      </c>
      <c r="E91" s="93">
        <v>138.04</v>
      </c>
      <c r="F91" s="93">
        <v>145.26</v>
      </c>
      <c r="G91" s="93">
        <v>152.47999999999999</v>
      </c>
      <c r="H91" s="93">
        <v>174.72</v>
      </c>
      <c r="I91" s="93">
        <v>196.96</v>
      </c>
      <c r="J91" s="93">
        <v>219.2</v>
      </c>
      <c r="K91" s="94">
        <v>272.63</v>
      </c>
      <c r="L91" s="95">
        <v>326.06</v>
      </c>
      <c r="M91" s="95">
        <v>386.31</v>
      </c>
      <c r="N91" s="95">
        <v>446.56</v>
      </c>
      <c r="O91" s="95">
        <v>506.81</v>
      </c>
      <c r="P91" s="95">
        <v>567.05999999999995</v>
      </c>
      <c r="Q91" s="95">
        <v>762.91</v>
      </c>
      <c r="R91" s="95">
        <v>958.76</v>
      </c>
      <c r="S91" s="95">
        <v>1154.6099999999999</v>
      </c>
      <c r="T91" s="95">
        <v>1350.46</v>
      </c>
      <c r="U91" s="96">
        <v>1546.31</v>
      </c>
      <c r="V91" s="5"/>
    </row>
    <row r="92" spans="1:22" x14ac:dyDescent="0.25">
      <c r="A92" s="11">
        <f t="shared" si="2"/>
        <v>23</v>
      </c>
      <c r="B92" s="97">
        <v>103.24</v>
      </c>
      <c r="C92" s="93">
        <v>117.69</v>
      </c>
      <c r="D92" s="93">
        <v>132.15</v>
      </c>
      <c r="E92" s="93">
        <v>139.27000000000001</v>
      </c>
      <c r="F92" s="93">
        <v>146.4</v>
      </c>
      <c r="G92" s="93">
        <v>153.53</v>
      </c>
      <c r="H92" s="93">
        <v>175.72</v>
      </c>
      <c r="I92" s="93">
        <v>197.91</v>
      </c>
      <c r="J92" s="93">
        <v>220.1</v>
      </c>
      <c r="K92" s="94">
        <v>273.08</v>
      </c>
      <c r="L92" s="95">
        <v>326.06</v>
      </c>
      <c r="M92" s="95">
        <v>386.31</v>
      </c>
      <c r="N92" s="95">
        <v>446.56</v>
      </c>
      <c r="O92" s="95">
        <v>506.81</v>
      </c>
      <c r="P92" s="95">
        <v>567.05999999999995</v>
      </c>
      <c r="Q92" s="95">
        <v>762.91</v>
      </c>
      <c r="R92" s="95">
        <v>958.76</v>
      </c>
      <c r="S92" s="95">
        <v>1154.6099999999999</v>
      </c>
      <c r="T92" s="95">
        <v>1350.46</v>
      </c>
      <c r="U92" s="96">
        <v>1546.31</v>
      </c>
      <c r="V92" s="5"/>
    </row>
    <row r="93" spans="1:22" x14ac:dyDescent="0.25">
      <c r="A93" s="11">
        <f t="shared" si="2"/>
        <v>24</v>
      </c>
      <c r="B93" s="97">
        <v>104.79</v>
      </c>
      <c r="C93" s="93">
        <v>119.13</v>
      </c>
      <c r="D93" s="93">
        <v>133.47</v>
      </c>
      <c r="E93" s="93">
        <v>140.5</v>
      </c>
      <c r="F93" s="93">
        <v>147.54</v>
      </c>
      <c r="G93" s="93">
        <v>154.57</v>
      </c>
      <c r="H93" s="93">
        <v>176.71</v>
      </c>
      <c r="I93" s="93">
        <v>198.86</v>
      </c>
      <c r="J93" s="93">
        <v>221</v>
      </c>
      <c r="K93" s="94">
        <v>273.52999999999997</v>
      </c>
      <c r="L93" s="95">
        <v>326.06</v>
      </c>
      <c r="M93" s="95">
        <v>386.31</v>
      </c>
      <c r="N93" s="95">
        <v>446.56</v>
      </c>
      <c r="O93" s="95">
        <v>506.81</v>
      </c>
      <c r="P93" s="95">
        <v>567.05999999999995</v>
      </c>
      <c r="Q93" s="95">
        <v>762.91</v>
      </c>
      <c r="R93" s="95">
        <v>958.76</v>
      </c>
      <c r="S93" s="95">
        <v>1154.6099999999999</v>
      </c>
      <c r="T93" s="95">
        <v>1350.46</v>
      </c>
      <c r="U93" s="96">
        <v>1546.31</v>
      </c>
      <c r="V93" s="5"/>
    </row>
    <row r="94" spans="1:22" x14ac:dyDescent="0.25">
      <c r="A94" s="11">
        <f t="shared" si="2"/>
        <v>25</v>
      </c>
      <c r="B94" s="97">
        <v>106.34</v>
      </c>
      <c r="C94" s="93">
        <v>120.57</v>
      </c>
      <c r="D94" s="93">
        <v>134.79</v>
      </c>
      <c r="E94" s="93">
        <v>141.72999999999999</v>
      </c>
      <c r="F94" s="93">
        <v>148.66999999999999</v>
      </c>
      <c r="G94" s="93">
        <v>155.61000000000001</v>
      </c>
      <c r="H94" s="93">
        <v>177.71</v>
      </c>
      <c r="I94" s="93">
        <v>199.8</v>
      </c>
      <c r="J94" s="93">
        <v>221.9</v>
      </c>
      <c r="K94" s="94">
        <v>273.98</v>
      </c>
      <c r="L94" s="95">
        <v>326.06</v>
      </c>
      <c r="M94" s="95">
        <v>386.31</v>
      </c>
      <c r="N94" s="95">
        <v>446.56</v>
      </c>
      <c r="O94" s="95">
        <v>506.81</v>
      </c>
      <c r="P94" s="95">
        <v>567.05999999999995</v>
      </c>
      <c r="Q94" s="95">
        <v>762.91</v>
      </c>
      <c r="R94" s="95">
        <v>958.76</v>
      </c>
      <c r="S94" s="95">
        <v>1154.6099999999999</v>
      </c>
      <c r="T94" s="95">
        <v>1350.46</v>
      </c>
      <c r="U94" s="96">
        <v>1546.31</v>
      </c>
      <c r="V94" s="5"/>
    </row>
    <row r="95" spans="1:22" x14ac:dyDescent="0.25">
      <c r="A95" s="11">
        <f t="shared" si="2"/>
        <v>26</v>
      </c>
      <c r="B95" s="97">
        <v>107.89</v>
      </c>
      <c r="C95" s="93">
        <v>122</v>
      </c>
      <c r="D95" s="93">
        <v>136.12</v>
      </c>
      <c r="E95" s="93">
        <v>142.96</v>
      </c>
      <c r="F95" s="93">
        <v>149.81</v>
      </c>
      <c r="G95" s="93">
        <v>156.66</v>
      </c>
      <c r="H95" s="93">
        <v>178.7</v>
      </c>
      <c r="I95" s="93">
        <v>200.75</v>
      </c>
      <c r="J95" s="93">
        <v>222.8</v>
      </c>
      <c r="K95" s="94">
        <v>274.43</v>
      </c>
      <c r="L95" s="95">
        <v>326.06</v>
      </c>
      <c r="M95" s="95">
        <v>386.31</v>
      </c>
      <c r="N95" s="95">
        <v>446.56</v>
      </c>
      <c r="O95" s="95">
        <v>506.81</v>
      </c>
      <c r="P95" s="95">
        <v>567.05999999999995</v>
      </c>
      <c r="Q95" s="95">
        <v>762.91</v>
      </c>
      <c r="R95" s="95">
        <v>958.76</v>
      </c>
      <c r="S95" s="95">
        <v>1154.6099999999999</v>
      </c>
      <c r="T95" s="95">
        <v>1350.46</v>
      </c>
      <c r="U95" s="96">
        <v>1546.31</v>
      </c>
      <c r="V95" s="5"/>
    </row>
    <row r="96" spans="1:22" x14ac:dyDescent="0.25">
      <c r="A96" s="11">
        <f t="shared" si="2"/>
        <v>27</v>
      </c>
      <c r="B96" s="97">
        <v>109.44</v>
      </c>
      <c r="C96" s="93">
        <v>123.44</v>
      </c>
      <c r="D96" s="93">
        <v>137.44</v>
      </c>
      <c r="E96" s="93">
        <v>144.19</v>
      </c>
      <c r="F96" s="93">
        <v>150.94999999999999</v>
      </c>
      <c r="G96" s="93">
        <v>157.69999999999999</v>
      </c>
      <c r="H96" s="93">
        <v>179.7</v>
      </c>
      <c r="I96" s="93">
        <v>201.7</v>
      </c>
      <c r="J96" s="93">
        <v>223.7</v>
      </c>
      <c r="K96" s="94">
        <v>274.88</v>
      </c>
      <c r="L96" s="95">
        <v>326.06</v>
      </c>
      <c r="M96" s="95">
        <v>386.31</v>
      </c>
      <c r="N96" s="95">
        <v>446.56</v>
      </c>
      <c r="O96" s="95">
        <v>506.81</v>
      </c>
      <c r="P96" s="95">
        <v>567.05999999999995</v>
      </c>
      <c r="Q96" s="95">
        <v>762.91</v>
      </c>
      <c r="R96" s="95">
        <v>958.76</v>
      </c>
      <c r="S96" s="95">
        <v>1154.6099999999999</v>
      </c>
      <c r="T96" s="95">
        <v>1350.46</v>
      </c>
      <c r="U96" s="96">
        <v>1546.31</v>
      </c>
      <c r="V96" s="5"/>
    </row>
    <row r="97" spans="1:22" x14ac:dyDescent="0.25">
      <c r="A97" s="11">
        <f t="shared" si="2"/>
        <v>28</v>
      </c>
      <c r="B97" s="97">
        <v>110.99</v>
      </c>
      <c r="C97" s="93">
        <v>124.88</v>
      </c>
      <c r="D97" s="93">
        <v>138.76</v>
      </c>
      <c r="E97" s="93">
        <v>145.41999999999999</v>
      </c>
      <c r="F97" s="93">
        <v>152.08000000000001</v>
      </c>
      <c r="G97" s="93">
        <v>158.74</v>
      </c>
      <c r="H97" s="93">
        <v>180.7</v>
      </c>
      <c r="I97" s="93">
        <v>202.65</v>
      </c>
      <c r="J97" s="93">
        <v>224.6</v>
      </c>
      <c r="K97" s="94">
        <v>275.33</v>
      </c>
      <c r="L97" s="95">
        <v>326.06</v>
      </c>
      <c r="M97" s="95">
        <v>386.31</v>
      </c>
      <c r="N97" s="95">
        <v>446.56</v>
      </c>
      <c r="O97" s="95">
        <v>506.81</v>
      </c>
      <c r="P97" s="95">
        <v>567.05999999999995</v>
      </c>
      <c r="Q97" s="95">
        <v>762.91</v>
      </c>
      <c r="R97" s="95">
        <v>958.76</v>
      </c>
      <c r="S97" s="95">
        <v>1154.6099999999999</v>
      </c>
      <c r="T97" s="95">
        <v>1350.46</v>
      </c>
      <c r="U97" s="96">
        <v>1546.31</v>
      </c>
      <c r="V97" s="5"/>
    </row>
    <row r="98" spans="1:22" x14ac:dyDescent="0.25">
      <c r="A98" s="11">
        <f t="shared" si="2"/>
        <v>29</v>
      </c>
      <c r="B98" s="97">
        <v>112.54</v>
      </c>
      <c r="C98" s="93">
        <v>126.31</v>
      </c>
      <c r="D98" s="93">
        <v>140.09</v>
      </c>
      <c r="E98" s="93">
        <v>146.65</v>
      </c>
      <c r="F98" s="93">
        <v>153.22</v>
      </c>
      <c r="G98" s="93">
        <v>159.79</v>
      </c>
      <c r="H98" s="93">
        <v>181.69</v>
      </c>
      <c r="I98" s="93">
        <v>203.6</v>
      </c>
      <c r="J98" s="93">
        <v>225.5</v>
      </c>
      <c r="K98" s="94">
        <v>275.77999999999997</v>
      </c>
      <c r="L98" s="95">
        <v>326.06</v>
      </c>
      <c r="M98" s="95">
        <v>386.31</v>
      </c>
      <c r="N98" s="95">
        <v>446.56</v>
      </c>
      <c r="O98" s="95">
        <v>506.81</v>
      </c>
      <c r="P98" s="95">
        <v>567.05999999999995</v>
      </c>
      <c r="Q98" s="95">
        <v>762.91</v>
      </c>
      <c r="R98" s="95">
        <v>958.76</v>
      </c>
      <c r="S98" s="95">
        <v>1154.6099999999999</v>
      </c>
      <c r="T98" s="95">
        <v>1350.46</v>
      </c>
      <c r="U98" s="96">
        <v>1546.31</v>
      </c>
      <c r="V98" s="5"/>
    </row>
    <row r="99" spans="1:22" x14ac:dyDescent="0.25">
      <c r="A99" s="11">
        <f t="shared" si="2"/>
        <v>30</v>
      </c>
      <c r="B99" s="98">
        <v>114.09</v>
      </c>
      <c r="C99" s="99">
        <v>127.75</v>
      </c>
      <c r="D99" s="99">
        <v>141.41</v>
      </c>
      <c r="E99" s="99">
        <v>147.88</v>
      </c>
      <c r="F99" s="99">
        <v>154.36000000000001</v>
      </c>
      <c r="G99" s="99">
        <v>160.83000000000001</v>
      </c>
      <c r="H99" s="99">
        <v>182.69</v>
      </c>
      <c r="I99" s="99">
        <v>204.54</v>
      </c>
      <c r="J99" s="99">
        <v>226.4</v>
      </c>
      <c r="K99" s="100">
        <v>276.23</v>
      </c>
      <c r="L99" s="101">
        <v>326.06</v>
      </c>
      <c r="M99" s="101">
        <v>386.31</v>
      </c>
      <c r="N99" s="101">
        <v>446.56</v>
      </c>
      <c r="O99" s="101">
        <v>506.81</v>
      </c>
      <c r="P99" s="101">
        <v>567.05999999999995</v>
      </c>
      <c r="Q99" s="101">
        <v>762.91</v>
      </c>
      <c r="R99" s="101">
        <v>958.76</v>
      </c>
      <c r="S99" s="101">
        <v>1154.6099999999999</v>
      </c>
      <c r="T99" s="101">
        <v>1350.46</v>
      </c>
      <c r="U99" s="102">
        <v>1546.31</v>
      </c>
      <c r="V99" s="5"/>
    </row>
    <row r="100" spans="1:22" x14ac:dyDescent="0.25">
      <c r="A100" s="12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5"/>
    </row>
    <row r="101" spans="1:22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5"/>
    </row>
    <row r="102" spans="1:22" ht="18.75" x14ac:dyDescent="0.3">
      <c r="A102" s="1" t="s">
        <v>111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5"/>
    </row>
    <row r="103" spans="1:22" ht="15.75" x14ac:dyDescent="0.25">
      <c r="A103" s="84" t="s">
        <v>131</v>
      </c>
      <c r="B103" s="17"/>
      <c r="C103" s="1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5"/>
    </row>
    <row r="104" spans="1:22" x14ac:dyDescent="0.25">
      <c r="A104" s="85" t="s">
        <v>121</v>
      </c>
      <c r="B104" s="82" t="s">
        <v>39</v>
      </c>
      <c r="C104" s="82" t="s">
        <v>40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5"/>
    </row>
    <row r="105" spans="1:22" x14ac:dyDescent="0.25">
      <c r="A105" s="86" t="s">
        <v>122</v>
      </c>
      <c r="B105" s="46" t="s">
        <v>123</v>
      </c>
      <c r="C105" s="46" t="s">
        <v>123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5"/>
    </row>
    <row r="106" spans="1:22" x14ac:dyDescent="0.25">
      <c r="A106" s="89" t="s">
        <v>41</v>
      </c>
      <c r="B106" s="90">
        <v>1.78</v>
      </c>
      <c r="C106" s="87">
        <v>20.059999999999999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5"/>
    </row>
    <row r="107" spans="1:22" x14ac:dyDescent="0.25">
      <c r="A107" s="89" t="s">
        <v>42</v>
      </c>
      <c r="B107" s="90">
        <v>7.69</v>
      </c>
      <c r="C107" s="87">
        <v>25.64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5"/>
    </row>
    <row r="108" spans="1:22" x14ac:dyDescent="0.25">
      <c r="A108" s="89">
        <v>1</v>
      </c>
      <c r="B108" s="90">
        <v>6.66</v>
      </c>
      <c r="C108" s="87">
        <v>28.39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5"/>
    </row>
    <row r="109" spans="1:22" x14ac:dyDescent="0.25">
      <c r="A109" s="89">
        <v>2</v>
      </c>
      <c r="B109" s="90">
        <v>6.3</v>
      </c>
      <c r="C109" s="87">
        <v>31.38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5"/>
    </row>
    <row r="110" spans="1:22" x14ac:dyDescent="0.25">
      <c r="A110" s="89">
        <v>3</v>
      </c>
      <c r="B110" s="90">
        <v>2.81</v>
      </c>
      <c r="C110" s="87">
        <v>34.020000000000003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5"/>
    </row>
    <row r="111" spans="1:22" x14ac:dyDescent="0.25">
      <c r="A111" s="89">
        <v>4</v>
      </c>
      <c r="B111" s="90">
        <v>-3.13</v>
      </c>
      <c r="C111" s="87">
        <v>34.770000000000003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5"/>
    </row>
    <row r="112" spans="1:22" x14ac:dyDescent="0.25">
      <c r="A112" s="89">
        <v>5</v>
      </c>
      <c r="B112" s="90">
        <v>-7.76</v>
      </c>
      <c r="C112" s="87">
        <v>34.799999999999997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5"/>
    </row>
    <row r="113" spans="1:22" x14ac:dyDescent="0.25">
      <c r="A113" s="89">
        <v>6</v>
      </c>
      <c r="B113" s="90">
        <v>-11.03</v>
      </c>
      <c r="C113" s="87">
        <v>34.1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5"/>
    </row>
    <row r="114" spans="1:22" x14ac:dyDescent="0.25">
      <c r="A114" s="89">
        <v>7</v>
      </c>
      <c r="B114" s="90">
        <v>-12.66</v>
      </c>
      <c r="C114" s="87">
        <v>32.15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5"/>
    </row>
    <row r="115" spans="1:22" x14ac:dyDescent="0.25">
      <c r="A115" s="89">
        <v>8</v>
      </c>
      <c r="B115" s="90">
        <v>-13.31</v>
      </c>
      <c r="C115" s="87">
        <v>28.97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5"/>
    </row>
    <row r="116" spans="1:22" x14ac:dyDescent="0.25">
      <c r="A116" s="89">
        <v>9</v>
      </c>
      <c r="B116" s="90">
        <v>-13.42</v>
      </c>
      <c r="C116" s="87">
        <v>25.31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5"/>
    </row>
    <row r="117" spans="1:22" x14ac:dyDescent="0.25">
      <c r="A117" s="89">
        <v>10</v>
      </c>
      <c r="B117" s="90">
        <v>-13.24</v>
      </c>
      <c r="C117" s="87">
        <v>21.85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5"/>
    </row>
    <row r="118" spans="1:22" x14ac:dyDescent="0.25">
      <c r="A118" s="89">
        <v>11</v>
      </c>
      <c r="B118" s="90">
        <v>-12.87</v>
      </c>
      <c r="C118" s="87">
        <v>18.989999999999998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5"/>
    </row>
    <row r="119" spans="1:22" x14ac:dyDescent="0.25">
      <c r="A119" s="89">
        <v>12</v>
      </c>
      <c r="B119" s="90">
        <v>-12.67</v>
      </c>
      <c r="C119" s="87">
        <v>16.68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5"/>
    </row>
    <row r="120" spans="1:22" x14ac:dyDescent="0.25">
      <c r="A120" s="89">
        <v>13</v>
      </c>
      <c r="B120" s="90">
        <v>-12.89</v>
      </c>
      <c r="C120" s="87">
        <v>14.82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5"/>
    </row>
    <row r="121" spans="1:22" x14ac:dyDescent="0.25">
      <c r="A121" s="89">
        <v>14</v>
      </c>
      <c r="B121" s="90">
        <v>-13.59</v>
      </c>
      <c r="C121" s="87">
        <v>13.39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5"/>
    </row>
    <row r="122" spans="1:22" x14ac:dyDescent="0.25">
      <c r="A122" s="89">
        <v>15</v>
      </c>
      <c r="B122" s="90">
        <v>-14.58</v>
      </c>
      <c r="C122" s="87">
        <v>12.33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5"/>
    </row>
    <row r="123" spans="1:22" x14ac:dyDescent="0.25">
      <c r="A123" s="89">
        <v>16</v>
      </c>
      <c r="B123" s="90">
        <v>-15.84</v>
      </c>
      <c r="C123" s="87">
        <v>11.58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5"/>
    </row>
    <row r="124" spans="1:22" x14ac:dyDescent="0.25">
      <c r="A124" s="89">
        <v>17</v>
      </c>
      <c r="B124" s="90">
        <v>-17.350000000000001</v>
      </c>
      <c r="C124" s="87">
        <v>11.1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5"/>
    </row>
    <row r="125" spans="1:22" x14ac:dyDescent="0.25">
      <c r="A125" s="89">
        <v>18</v>
      </c>
      <c r="B125" s="90">
        <v>-19.13</v>
      </c>
      <c r="C125" s="87">
        <v>10.86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5"/>
    </row>
    <row r="126" spans="1:22" x14ac:dyDescent="0.25">
      <c r="A126" s="89">
        <v>19</v>
      </c>
      <c r="B126" s="90">
        <v>-21.07</v>
      </c>
      <c r="C126" s="87">
        <v>10.81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5"/>
    </row>
    <row r="127" spans="1:22" x14ac:dyDescent="0.25">
      <c r="A127" s="89">
        <v>20</v>
      </c>
      <c r="B127" s="90">
        <v>-23.14</v>
      </c>
      <c r="C127" s="87">
        <v>10.92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5"/>
    </row>
    <row r="128" spans="1:22" x14ac:dyDescent="0.25">
      <c r="A128" s="89">
        <v>21</v>
      </c>
      <c r="B128" s="90">
        <v>-25.28</v>
      </c>
      <c r="C128" s="87">
        <v>11.09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5"/>
    </row>
    <row r="129" spans="1:22" x14ac:dyDescent="0.25">
      <c r="A129" s="89">
        <v>22</v>
      </c>
      <c r="B129" s="90">
        <v>-27.51</v>
      </c>
      <c r="C129" s="87">
        <v>11.25</v>
      </c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5"/>
    </row>
    <row r="130" spans="1:22" x14ac:dyDescent="0.25">
      <c r="A130" s="89">
        <v>23</v>
      </c>
      <c r="B130" s="90">
        <v>-29.72</v>
      </c>
      <c r="C130" s="87">
        <v>11.42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5"/>
    </row>
    <row r="131" spans="1:22" x14ac:dyDescent="0.25">
      <c r="A131" s="89">
        <v>24</v>
      </c>
      <c r="B131" s="90">
        <v>-31.83</v>
      </c>
      <c r="C131" s="87">
        <v>11.61</v>
      </c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5"/>
    </row>
    <row r="132" spans="1:22" x14ac:dyDescent="0.25">
      <c r="A132" s="89">
        <v>25</v>
      </c>
      <c r="B132" s="90">
        <v>-33.770000000000003</v>
      </c>
      <c r="C132" s="87">
        <v>11.81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5"/>
    </row>
    <row r="133" spans="1:22" x14ac:dyDescent="0.25">
      <c r="A133" s="89">
        <v>26</v>
      </c>
      <c r="B133" s="90">
        <v>-35.549999999999997</v>
      </c>
      <c r="C133" s="87">
        <v>11.99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5"/>
    </row>
    <row r="134" spans="1:22" x14ac:dyDescent="0.25">
      <c r="A134" s="89">
        <v>27</v>
      </c>
      <c r="B134" s="90">
        <v>-37.159999999999997</v>
      </c>
      <c r="C134" s="87">
        <v>12.11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5"/>
    </row>
    <row r="135" spans="1:22" x14ac:dyDescent="0.25">
      <c r="A135" s="89">
        <v>28</v>
      </c>
      <c r="B135" s="90">
        <v>-38.58</v>
      </c>
      <c r="C135" s="87">
        <v>12.13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5"/>
    </row>
    <row r="136" spans="1:22" x14ac:dyDescent="0.25">
      <c r="A136" s="89">
        <v>29</v>
      </c>
      <c r="B136" s="90">
        <v>-39.79</v>
      </c>
      <c r="C136" s="87">
        <v>12.04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5"/>
    </row>
    <row r="137" spans="1:22" x14ac:dyDescent="0.25">
      <c r="A137" s="89">
        <v>30</v>
      </c>
      <c r="B137" s="91">
        <v>-40.85</v>
      </c>
      <c r="C137" s="88">
        <v>11.85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5"/>
    </row>
    <row r="138" spans="1:22" x14ac:dyDescent="0.25">
      <c r="A138" s="5"/>
      <c r="B138" s="5"/>
      <c r="C138" s="5"/>
      <c r="D138" s="5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</sheetData>
  <mergeCells count="3">
    <mergeCell ref="B67:K67"/>
    <mergeCell ref="B4:K4"/>
    <mergeCell ref="L67:U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/>
  </sheetViews>
  <sheetFormatPr defaultRowHeight="15" x14ac:dyDescent="0.25"/>
  <cols>
    <col min="1" max="1" width="14.85546875" bestFit="1" customWidth="1"/>
    <col min="2" max="2" width="10.7109375" bestFit="1" customWidth="1"/>
    <col min="3" max="3" width="11.28515625" bestFit="1" customWidth="1"/>
    <col min="4" max="4" width="11.5703125" bestFit="1" customWidth="1"/>
    <col min="5" max="5" width="15.7109375" bestFit="1" customWidth="1"/>
    <col min="6" max="6" width="14.5703125" bestFit="1" customWidth="1"/>
    <col min="7" max="7" width="11.85546875" customWidth="1"/>
    <col min="8" max="8" width="22.7109375" customWidth="1"/>
    <col min="9" max="9" width="14.7109375" bestFit="1" customWidth="1"/>
  </cols>
  <sheetData>
    <row r="1" spans="1:9" ht="18.75" x14ac:dyDescent="0.3">
      <c r="A1" s="1" t="s">
        <v>125</v>
      </c>
    </row>
    <row r="2" spans="1:9" ht="18.75" x14ac:dyDescent="0.3">
      <c r="A2" s="1"/>
    </row>
    <row r="3" spans="1:9" ht="33" customHeight="1" x14ac:dyDescent="0.25">
      <c r="A3" s="9" t="s">
        <v>51</v>
      </c>
      <c r="B3" s="9" t="s">
        <v>52</v>
      </c>
      <c r="C3" s="9" t="s">
        <v>59</v>
      </c>
      <c r="D3" s="9" t="s">
        <v>60</v>
      </c>
      <c r="E3" s="9" t="s">
        <v>67</v>
      </c>
      <c r="F3" s="9" t="s">
        <v>68</v>
      </c>
      <c r="G3" s="10" t="s">
        <v>79</v>
      </c>
      <c r="H3" s="10" t="s">
        <v>124</v>
      </c>
      <c r="I3" s="9" t="s">
        <v>80</v>
      </c>
    </row>
    <row r="4" spans="1:9" x14ac:dyDescent="0.25">
      <c r="A4" s="6" t="s">
        <v>0</v>
      </c>
      <c r="B4" s="6" t="s">
        <v>46</v>
      </c>
      <c r="C4" s="6" t="s">
        <v>46</v>
      </c>
      <c r="D4" s="6" t="s">
        <v>46</v>
      </c>
      <c r="E4" s="6" t="s">
        <v>46</v>
      </c>
      <c r="F4" s="6" t="s">
        <v>69</v>
      </c>
      <c r="G4" s="6">
        <v>1</v>
      </c>
      <c r="H4" s="6"/>
      <c r="I4" s="8">
        <v>1</v>
      </c>
    </row>
    <row r="5" spans="1:9" x14ac:dyDescent="0.25">
      <c r="A5" s="6" t="s">
        <v>1</v>
      </c>
      <c r="B5" s="6" t="s">
        <v>53</v>
      </c>
      <c r="C5" s="6" t="s">
        <v>53</v>
      </c>
      <c r="D5" s="6" t="s">
        <v>61</v>
      </c>
      <c r="E5" s="6" t="s">
        <v>53</v>
      </c>
      <c r="F5" s="6" t="s">
        <v>70</v>
      </c>
      <c r="G5" s="6">
        <v>1</v>
      </c>
      <c r="H5" s="6"/>
      <c r="I5" s="8">
        <v>2</v>
      </c>
    </row>
    <row r="6" spans="1:9" x14ac:dyDescent="0.25">
      <c r="A6" s="6" t="s">
        <v>2</v>
      </c>
      <c r="B6" s="6" t="s">
        <v>47</v>
      </c>
      <c r="C6" s="6" t="s">
        <v>47</v>
      </c>
      <c r="D6" s="6" t="s">
        <v>47</v>
      </c>
      <c r="E6" s="6" t="s">
        <v>47</v>
      </c>
      <c r="F6" s="6" t="s">
        <v>71</v>
      </c>
      <c r="G6" s="6">
        <v>1</v>
      </c>
      <c r="H6" s="6"/>
      <c r="I6" s="8">
        <v>3</v>
      </c>
    </row>
    <row r="7" spans="1:9" x14ac:dyDescent="0.25">
      <c r="A7" s="6" t="s">
        <v>3</v>
      </c>
      <c r="B7" s="6" t="s">
        <v>54</v>
      </c>
      <c r="C7" s="6" t="s">
        <v>54</v>
      </c>
      <c r="D7" s="6" t="s">
        <v>62</v>
      </c>
      <c r="E7" s="6" t="s">
        <v>54</v>
      </c>
      <c r="F7" s="6" t="s">
        <v>72</v>
      </c>
      <c r="G7" s="6">
        <v>1</v>
      </c>
      <c r="H7" s="6"/>
      <c r="I7" s="8">
        <v>4</v>
      </c>
    </row>
    <row r="8" spans="1:9" x14ac:dyDescent="0.25">
      <c r="A8" s="6" t="s">
        <v>4</v>
      </c>
      <c r="B8" s="6" t="s">
        <v>55</v>
      </c>
      <c r="C8" s="6" t="s">
        <v>55</v>
      </c>
      <c r="D8" s="6" t="s">
        <v>63</v>
      </c>
      <c r="E8" s="6" t="s">
        <v>55</v>
      </c>
      <c r="F8" s="6" t="s">
        <v>73</v>
      </c>
      <c r="G8" s="6">
        <v>1</v>
      </c>
      <c r="H8" s="6"/>
      <c r="I8" s="8">
        <v>5</v>
      </c>
    </row>
    <row r="9" spans="1:9" x14ac:dyDescent="0.25">
      <c r="A9" s="6" t="s">
        <v>5</v>
      </c>
      <c r="B9" s="6" t="s">
        <v>48</v>
      </c>
      <c r="C9" s="6" t="s">
        <v>48</v>
      </c>
      <c r="D9" s="6" t="s">
        <v>48</v>
      </c>
      <c r="E9" s="6" t="s">
        <v>48</v>
      </c>
      <c r="F9" s="6" t="s">
        <v>74</v>
      </c>
      <c r="G9" s="6">
        <v>1</v>
      </c>
      <c r="H9" s="6"/>
      <c r="I9" s="8">
        <v>6</v>
      </c>
    </row>
    <row r="10" spans="1:9" x14ac:dyDescent="0.25">
      <c r="A10" s="6" t="s">
        <v>6</v>
      </c>
      <c r="B10" s="6" t="s">
        <v>56</v>
      </c>
      <c r="C10" s="6" t="s">
        <v>56</v>
      </c>
      <c r="D10" s="6" t="s">
        <v>64</v>
      </c>
      <c r="E10" s="6" t="s">
        <v>56</v>
      </c>
      <c r="F10" s="6" t="s">
        <v>75</v>
      </c>
      <c r="G10" s="6">
        <v>1</v>
      </c>
      <c r="H10" s="6">
        <v>1</v>
      </c>
      <c r="I10" s="8">
        <v>7</v>
      </c>
    </row>
    <row r="11" spans="1:9" x14ac:dyDescent="0.25">
      <c r="A11" s="6" t="s">
        <v>7</v>
      </c>
      <c r="B11" s="6" t="s">
        <v>57</v>
      </c>
      <c r="C11" s="6" t="s">
        <v>57</v>
      </c>
      <c r="D11" s="6" t="s">
        <v>65</v>
      </c>
      <c r="E11" s="6" t="s">
        <v>57</v>
      </c>
      <c r="F11" s="6" t="s">
        <v>76</v>
      </c>
      <c r="G11" s="6">
        <v>2</v>
      </c>
      <c r="H11" s="6"/>
      <c r="I11" s="8">
        <v>8</v>
      </c>
    </row>
    <row r="12" spans="1:9" x14ac:dyDescent="0.25">
      <c r="A12" s="6" t="s">
        <v>8</v>
      </c>
      <c r="B12" s="6" t="s">
        <v>49</v>
      </c>
      <c r="C12" s="6" t="s">
        <v>49</v>
      </c>
      <c r="D12" s="6" t="s">
        <v>49</v>
      </c>
      <c r="E12" s="6" t="s">
        <v>49</v>
      </c>
      <c r="F12" s="6" t="s">
        <v>77</v>
      </c>
      <c r="G12" s="6">
        <v>2</v>
      </c>
      <c r="H12" s="6"/>
      <c r="I12" s="8">
        <v>9</v>
      </c>
    </row>
    <row r="13" spans="1:9" x14ac:dyDescent="0.25">
      <c r="A13" s="6" t="s">
        <v>9</v>
      </c>
      <c r="B13" s="6" t="s">
        <v>58</v>
      </c>
      <c r="C13" s="6" t="s">
        <v>58</v>
      </c>
      <c r="D13" s="6" t="s">
        <v>66</v>
      </c>
      <c r="E13" s="6" t="s">
        <v>58</v>
      </c>
      <c r="F13" s="6" t="s">
        <v>78</v>
      </c>
      <c r="G13" s="6">
        <v>2</v>
      </c>
      <c r="H13" s="6">
        <v>2</v>
      </c>
      <c r="I13" s="8">
        <v>10</v>
      </c>
    </row>
    <row r="14" spans="1:9" x14ac:dyDescent="0.25">
      <c r="A14" s="6" t="s">
        <v>10</v>
      </c>
      <c r="B14" s="6" t="s">
        <v>81</v>
      </c>
      <c r="C14" s="6" t="s">
        <v>81</v>
      </c>
      <c r="D14" s="6" t="s">
        <v>91</v>
      </c>
      <c r="E14" s="6" t="s">
        <v>81</v>
      </c>
      <c r="F14" s="6" t="s">
        <v>97</v>
      </c>
      <c r="G14" s="6">
        <v>3</v>
      </c>
      <c r="H14" s="6">
        <v>3</v>
      </c>
      <c r="I14" s="8">
        <v>11</v>
      </c>
    </row>
    <row r="15" spans="1:9" x14ac:dyDescent="0.25">
      <c r="A15" s="6" t="s">
        <v>11</v>
      </c>
      <c r="B15" s="6" t="s">
        <v>82</v>
      </c>
      <c r="C15" s="6" t="s">
        <v>82</v>
      </c>
      <c r="D15" s="6" t="s">
        <v>82</v>
      </c>
      <c r="E15" s="6" t="s">
        <v>82</v>
      </c>
      <c r="F15" s="6" t="s">
        <v>98</v>
      </c>
      <c r="G15" s="6">
        <v>3</v>
      </c>
      <c r="H15" s="6">
        <v>4</v>
      </c>
      <c r="I15" s="8">
        <v>12</v>
      </c>
    </row>
    <row r="16" spans="1:9" x14ac:dyDescent="0.25">
      <c r="A16" s="6" t="s">
        <v>12</v>
      </c>
      <c r="B16" s="6" t="s">
        <v>83</v>
      </c>
      <c r="C16" s="6" t="s">
        <v>83</v>
      </c>
      <c r="D16" s="6" t="s">
        <v>92</v>
      </c>
      <c r="E16" s="6" t="s">
        <v>83</v>
      </c>
      <c r="F16" s="6" t="s">
        <v>99</v>
      </c>
      <c r="G16" s="6">
        <v>3</v>
      </c>
      <c r="H16" s="6">
        <v>5</v>
      </c>
      <c r="I16" s="8">
        <v>13</v>
      </c>
    </row>
    <row r="17" spans="1:9" x14ac:dyDescent="0.25">
      <c r="A17" s="6" t="s">
        <v>13</v>
      </c>
      <c r="B17" s="6" t="s">
        <v>84</v>
      </c>
      <c r="C17" s="6" t="s">
        <v>84</v>
      </c>
      <c r="D17" s="6" t="s">
        <v>93</v>
      </c>
      <c r="E17" s="6" t="s">
        <v>84</v>
      </c>
      <c r="F17" s="6" t="s">
        <v>100</v>
      </c>
      <c r="G17" s="6">
        <v>4</v>
      </c>
      <c r="H17" s="6"/>
      <c r="I17" s="8">
        <v>14</v>
      </c>
    </row>
    <row r="18" spans="1:9" x14ac:dyDescent="0.25">
      <c r="A18" s="6" t="s">
        <v>14</v>
      </c>
      <c r="B18" s="6" t="s">
        <v>85</v>
      </c>
      <c r="C18" s="6" t="s">
        <v>85</v>
      </c>
      <c r="D18" s="6" t="s">
        <v>85</v>
      </c>
      <c r="E18" s="6" t="s">
        <v>85</v>
      </c>
      <c r="F18" s="6" t="s">
        <v>101</v>
      </c>
      <c r="G18" s="6">
        <v>4</v>
      </c>
      <c r="H18" s="6"/>
      <c r="I18" s="8">
        <v>15</v>
      </c>
    </row>
    <row r="19" spans="1:9" x14ac:dyDescent="0.25">
      <c r="A19" s="6" t="s">
        <v>15</v>
      </c>
      <c r="B19" s="6" t="s">
        <v>86</v>
      </c>
      <c r="C19" s="6" t="s">
        <v>86</v>
      </c>
      <c r="D19" s="6" t="s">
        <v>94</v>
      </c>
      <c r="E19" s="6" t="s">
        <v>86</v>
      </c>
      <c r="F19" s="6" t="s">
        <v>102</v>
      </c>
      <c r="G19" s="6">
        <v>4</v>
      </c>
      <c r="H19" s="6"/>
      <c r="I19" s="8">
        <v>16</v>
      </c>
    </row>
    <row r="20" spans="1:9" x14ac:dyDescent="0.25">
      <c r="A20" s="6" t="s">
        <v>16</v>
      </c>
      <c r="B20" s="6" t="s">
        <v>87</v>
      </c>
      <c r="C20" s="6" t="s">
        <v>87</v>
      </c>
      <c r="D20" s="6" t="s">
        <v>95</v>
      </c>
      <c r="E20" s="6" t="s">
        <v>87</v>
      </c>
      <c r="F20" s="6" t="s">
        <v>103</v>
      </c>
      <c r="G20" s="6">
        <v>5</v>
      </c>
      <c r="H20" s="6"/>
      <c r="I20" s="8">
        <v>17</v>
      </c>
    </row>
    <row r="21" spans="1:9" x14ac:dyDescent="0.25">
      <c r="A21" s="6" t="s">
        <v>17</v>
      </c>
      <c r="B21" s="6" t="s">
        <v>88</v>
      </c>
      <c r="C21" s="6" t="s">
        <v>88</v>
      </c>
      <c r="D21" s="6" t="s">
        <v>88</v>
      </c>
      <c r="E21" s="6" t="s">
        <v>88</v>
      </c>
      <c r="F21" s="6" t="s">
        <v>104</v>
      </c>
      <c r="G21" s="6">
        <v>5</v>
      </c>
      <c r="H21" s="6"/>
      <c r="I21" s="8">
        <v>18</v>
      </c>
    </row>
    <row r="22" spans="1:9" x14ac:dyDescent="0.25">
      <c r="A22" s="6" t="s">
        <v>18</v>
      </c>
      <c r="B22" s="6" t="s">
        <v>89</v>
      </c>
      <c r="C22" s="6" t="s">
        <v>89</v>
      </c>
      <c r="D22" s="6" t="s">
        <v>96</v>
      </c>
      <c r="E22" s="6" t="s">
        <v>89</v>
      </c>
      <c r="F22" s="6" t="s">
        <v>105</v>
      </c>
      <c r="G22" s="6">
        <v>5</v>
      </c>
      <c r="H22" s="6"/>
      <c r="I22" s="8">
        <v>19</v>
      </c>
    </row>
    <row r="23" spans="1:9" x14ac:dyDescent="0.25">
      <c r="A23" s="6" t="s">
        <v>19</v>
      </c>
      <c r="B23" s="6" t="s">
        <v>90</v>
      </c>
      <c r="C23" s="6" t="s">
        <v>90</v>
      </c>
      <c r="D23" s="6" t="s">
        <v>90</v>
      </c>
      <c r="E23" s="6" t="s">
        <v>90</v>
      </c>
      <c r="F23" s="6" t="s">
        <v>106</v>
      </c>
      <c r="G23" s="6">
        <v>6</v>
      </c>
      <c r="H23" s="6"/>
      <c r="I23" s="8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/>
  </sheetViews>
  <sheetFormatPr defaultRowHeight="15" x14ac:dyDescent="0.25"/>
  <cols>
    <col min="1" max="1" width="18.28515625" customWidth="1"/>
    <col min="2" max="2" width="14.85546875" customWidth="1"/>
    <col min="3" max="3" width="20.140625" customWidth="1"/>
    <col min="5" max="5" width="13.7109375" customWidth="1"/>
    <col min="6" max="6" width="15.85546875" customWidth="1"/>
  </cols>
  <sheetData>
    <row r="1" spans="1:6" ht="18.75" x14ac:dyDescent="0.3">
      <c r="A1" s="1" t="s">
        <v>141</v>
      </c>
    </row>
    <row r="2" spans="1:6" ht="15.75" x14ac:dyDescent="0.25">
      <c r="A2" s="109" t="s">
        <v>160</v>
      </c>
    </row>
    <row r="3" spans="1:6" ht="15.75" x14ac:dyDescent="0.25">
      <c r="C3" s="4"/>
    </row>
    <row r="4" spans="1:6" x14ac:dyDescent="0.25">
      <c r="A4" s="29" t="s">
        <v>172</v>
      </c>
      <c r="B4" s="30" t="s">
        <v>139</v>
      </c>
      <c r="C4" s="30" t="s">
        <v>126</v>
      </c>
      <c r="D4" s="30" t="s">
        <v>43</v>
      </c>
      <c r="E4" s="30" t="s">
        <v>50</v>
      </c>
      <c r="F4" s="30" t="s">
        <v>177</v>
      </c>
    </row>
    <row r="5" spans="1:6" x14ac:dyDescent="0.25">
      <c r="A5" s="2">
        <v>1</v>
      </c>
      <c r="B5" s="34" t="s">
        <v>140</v>
      </c>
      <c r="C5" s="34">
        <v>1</v>
      </c>
      <c r="D5" s="34">
        <v>2</v>
      </c>
      <c r="E5" s="35">
        <v>0.06</v>
      </c>
      <c r="F5" s="34">
        <v>10</v>
      </c>
    </row>
    <row r="6" spans="1:6" x14ac:dyDescent="0.25">
      <c r="A6" s="2">
        <f t="shared" ref="A6:A15" si="0">+A5+1</f>
        <v>2</v>
      </c>
      <c r="B6" s="34" t="s">
        <v>140</v>
      </c>
      <c r="C6" s="34">
        <v>3</v>
      </c>
      <c r="D6" s="34">
        <v>2</v>
      </c>
      <c r="E6" s="35">
        <v>0.06</v>
      </c>
      <c r="F6" s="34">
        <v>10</v>
      </c>
    </row>
    <row r="7" spans="1:6" x14ac:dyDescent="0.25">
      <c r="A7" s="2">
        <f t="shared" si="0"/>
        <v>3</v>
      </c>
      <c r="B7" s="34" t="s">
        <v>140</v>
      </c>
      <c r="C7" s="34">
        <v>3</v>
      </c>
      <c r="D7" s="34">
        <v>5</v>
      </c>
      <c r="E7" s="35">
        <v>0.06</v>
      </c>
      <c r="F7" s="34">
        <v>10</v>
      </c>
    </row>
    <row r="8" spans="1:6" x14ac:dyDescent="0.25">
      <c r="A8" s="2">
        <f t="shared" si="0"/>
        <v>4</v>
      </c>
      <c r="B8" s="34" t="s">
        <v>140</v>
      </c>
      <c r="C8" s="34">
        <v>5</v>
      </c>
      <c r="D8" s="34">
        <v>5</v>
      </c>
      <c r="E8" s="35">
        <v>0.1</v>
      </c>
      <c r="F8" s="34">
        <v>10</v>
      </c>
    </row>
    <row r="9" spans="1:6" x14ac:dyDescent="0.25">
      <c r="A9" s="2">
        <f t="shared" si="0"/>
        <v>5</v>
      </c>
      <c r="B9" s="34" t="s">
        <v>140</v>
      </c>
      <c r="C9" s="34">
        <v>3</v>
      </c>
      <c r="D9" s="34">
        <v>10</v>
      </c>
      <c r="E9" s="35">
        <v>0.21</v>
      </c>
      <c r="F9" s="34">
        <v>10</v>
      </c>
    </row>
    <row r="10" spans="1:6" x14ac:dyDescent="0.25">
      <c r="A10" s="2">
        <f t="shared" si="0"/>
        <v>6</v>
      </c>
      <c r="B10" s="34" t="s">
        <v>140</v>
      </c>
      <c r="C10" s="34">
        <v>6</v>
      </c>
      <c r="D10" s="34">
        <v>10</v>
      </c>
      <c r="E10" s="35">
        <v>0.16</v>
      </c>
      <c r="F10" s="34">
        <v>10</v>
      </c>
    </row>
    <row r="11" spans="1:6" x14ac:dyDescent="0.25">
      <c r="A11" s="2">
        <f t="shared" si="0"/>
        <v>7</v>
      </c>
      <c r="B11" s="34" t="s">
        <v>140</v>
      </c>
      <c r="C11" s="34">
        <v>3</v>
      </c>
      <c r="D11" s="34">
        <v>20</v>
      </c>
      <c r="E11" s="35">
        <v>0.1</v>
      </c>
      <c r="F11" s="34">
        <v>10</v>
      </c>
    </row>
    <row r="12" spans="1:6" x14ac:dyDescent="0.25">
      <c r="A12" s="2">
        <f t="shared" si="0"/>
        <v>8</v>
      </c>
      <c r="B12" s="34" t="s">
        <v>140</v>
      </c>
      <c r="C12" s="34">
        <v>6</v>
      </c>
      <c r="D12" s="34">
        <v>20</v>
      </c>
      <c r="E12" s="35">
        <v>0.1</v>
      </c>
      <c r="F12" s="34">
        <v>10</v>
      </c>
    </row>
    <row r="13" spans="1:6" x14ac:dyDescent="0.25">
      <c r="A13" s="2">
        <f t="shared" si="0"/>
        <v>9</v>
      </c>
      <c r="B13" s="34" t="s">
        <v>107</v>
      </c>
      <c r="C13" s="34">
        <v>7</v>
      </c>
      <c r="D13" s="34">
        <v>5</v>
      </c>
      <c r="E13" s="35">
        <v>0.05</v>
      </c>
      <c r="F13" s="34">
        <v>25</v>
      </c>
    </row>
    <row r="14" spans="1:6" x14ac:dyDescent="0.25">
      <c r="A14" s="2">
        <f t="shared" si="0"/>
        <v>10</v>
      </c>
      <c r="B14" s="34" t="s">
        <v>107</v>
      </c>
      <c r="C14" s="34">
        <v>7</v>
      </c>
      <c r="D14" s="34">
        <v>10</v>
      </c>
      <c r="E14" s="35">
        <v>0.05</v>
      </c>
      <c r="F14" s="34">
        <v>25</v>
      </c>
    </row>
    <row r="15" spans="1:6" x14ac:dyDescent="0.25">
      <c r="A15" s="2">
        <f t="shared" si="0"/>
        <v>11</v>
      </c>
      <c r="B15" s="34" t="s">
        <v>107</v>
      </c>
      <c r="C15" s="34">
        <v>7</v>
      </c>
      <c r="D15" s="34">
        <v>20</v>
      </c>
      <c r="E15" s="35">
        <v>0.05</v>
      </c>
      <c r="F15" s="34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zoomScaleNormal="100" workbookViewId="0"/>
  </sheetViews>
  <sheetFormatPr defaultRowHeight="15" x14ac:dyDescent="0.25"/>
  <cols>
    <col min="1" max="1" width="16.42578125" customWidth="1"/>
    <col min="2" max="3" width="23.28515625" customWidth="1"/>
    <col min="4" max="4" width="22.28515625" customWidth="1"/>
    <col min="5" max="5" width="22.7109375" customWidth="1"/>
    <col min="6" max="6" width="18.28515625" customWidth="1"/>
    <col min="7" max="7" width="16.28515625" customWidth="1"/>
    <col min="8" max="8" width="12.7109375" customWidth="1"/>
    <col min="9" max="9" width="13.7109375" customWidth="1"/>
  </cols>
  <sheetData>
    <row r="1" spans="1:6" ht="18.75" x14ac:dyDescent="0.3">
      <c r="A1" s="1" t="s">
        <v>126</v>
      </c>
    </row>
    <row r="3" spans="1:6" x14ac:dyDescent="0.25">
      <c r="A3" s="28" t="s">
        <v>143</v>
      </c>
    </row>
    <row r="4" spans="1:6" ht="15" customHeight="1" x14ac:dyDescent="0.25">
      <c r="A4" s="32" t="s">
        <v>79</v>
      </c>
      <c r="B4" s="32" t="s">
        <v>126</v>
      </c>
    </row>
    <row r="5" spans="1:6" x14ac:dyDescent="0.25">
      <c r="A5" s="2">
        <v>1</v>
      </c>
      <c r="B5" s="2">
        <v>6</v>
      </c>
    </row>
    <row r="6" spans="1:6" x14ac:dyDescent="0.25">
      <c r="A6" s="2">
        <v>2</v>
      </c>
      <c r="B6" s="2">
        <v>9</v>
      </c>
    </row>
    <row r="7" spans="1:6" x14ac:dyDescent="0.25">
      <c r="A7" s="2">
        <v>3</v>
      </c>
      <c r="B7" s="2">
        <v>12</v>
      </c>
    </row>
    <row r="8" spans="1:6" x14ac:dyDescent="0.25">
      <c r="A8" s="2">
        <v>4</v>
      </c>
      <c r="B8" s="2">
        <v>15</v>
      </c>
    </row>
    <row r="9" spans="1:6" x14ac:dyDescent="0.25">
      <c r="A9" s="2">
        <v>5</v>
      </c>
      <c r="B9" s="2">
        <v>18</v>
      </c>
    </row>
    <row r="10" spans="1:6" x14ac:dyDescent="0.25">
      <c r="A10" s="2">
        <v>6</v>
      </c>
      <c r="B10" s="2">
        <v>20</v>
      </c>
    </row>
    <row r="11" spans="1:6" x14ac:dyDescent="0.25">
      <c r="A11" s="2"/>
      <c r="B11" s="2"/>
    </row>
    <row r="12" spans="1:6" x14ac:dyDescent="0.25">
      <c r="B12" s="39" t="s">
        <v>169</v>
      </c>
      <c r="C12" s="39" t="s">
        <v>169</v>
      </c>
      <c r="D12" s="39" t="s">
        <v>169</v>
      </c>
      <c r="E12" s="39" t="s">
        <v>169</v>
      </c>
      <c r="F12" s="39" t="s">
        <v>169</v>
      </c>
    </row>
    <row r="13" spans="1:6" x14ac:dyDescent="0.25">
      <c r="A13" s="28" t="s">
        <v>134</v>
      </c>
      <c r="B13" s="29" t="s">
        <v>174</v>
      </c>
      <c r="C13" s="29" t="s">
        <v>142</v>
      </c>
      <c r="D13" s="29" t="s">
        <v>163</v>
      </c>
      <c r="E13" s="29" t="s">
        <v>164</v>
      </c>
      <c r="F13" s="29" t="s">
        <v>126</v>
      </c>
    </row>
    <row r="14" spans="1:6" x14ac:dyDescent="0.25">
      <c r="A14" s="2">
        <f>+Input!A6</f>
        <v>1</v>
      </c>
      <c r="B14" s="21">
        <f>IF(ISBLANK(Input!I6),0,VLOOKUP(Input!I6,ARO!A$4:$I$23,9,FALSE))</f>
        <v>1</v>
      </c>
      <c r="C14" s="21">
        <f>IF(ISBLANK(Input!J6),0,VLOOKUP(Input!J6,ARO!B$4:$I$23,8,FALSE))</f>
        <v>1</v>
      </c>
      <c r="D14" s="2">
        <f>IF(B14+C14=0,IF(ISBLANK(Input!E6),"None",VLOOKUP(Input!E6,NAIC_PBR,2,FALSE)),ROUND((B14+C14)/COUNTIF(B14:C14,"&gt;0"),0))</f>
        <v>1</v>
      </c>
      <c r="E14" s="21">
        <f>IF(ISBLANK(Input!E6),"None",VLOOKUP(Input!E6,ARO!H$10:$I$16,2,FALSE))</f>
        <v>7</v>
      </c>
      <c r="F14">
        <f>IF(Input!B6="CML",PBRRating!E14,D14)</f>
        <v>1</v>
      </c>
    </row>
    <row r="15" spans="1:6" x14ac:dyDescent="0.25">
      <c r="A15" s="2">
        <f>+Input!A7</f>
        <v>2</v>
      </c>
      <c r="B15" s="21">
        <f>IF(ISBLANK(Input!I7),0,VLOOKUP(Input!I7,ARO!A$4:$I$23,9,FALSE))</f>
        <v>7</v>
      </c>
      <c r="C15" s="21">
        <f>IF(ISBLANK(Input!J7),0,VLOOKUP(Input!J7,ARO!B$4:$I$23,8,FALSE))</f>
        <v>7</v>
      </c>
      <c r="D15" s="2">
        <f>IF(B15+C15=0,IF(ISBLANK(Input!E7),"None",VLOOKUP(Input!E7,NAIC_PBR,2,FALSE)),ROUND((B15+C15)/COUNTIF(B15:C15,"&gt;0"),0))</f>
        <v>7</v>
      </c>
      <c r="E15" s="21">
        <f>IF(ISBLANK(Input!E7),"None",VLOOKUP(Input!E7,ARO!H$10:$I$16,2,FALSE))</f>
        <v>7</v>
      </c>
      <c r="F15">
        <f>IF(Input!B7="CML",PBRRating!E15,D15)</f>
        <v>7</v>
      </c>
    </row>
    <row r="16" spans="1:6" x14ac:dyDescent="0.25">
      <c r="A16" s="2">
        <f>+Input!A8</f>
        <v>3</v>
      </c>
      <c r="B16" s="21">
        <f>IF(ISBLANK(Input!I8),0,VLOOKUP(Input!I8,ARO!A$4:$I$23,9,FALSE))</f>
        <v>9</v>
      </c>
      <c r="C16" s="21">
        <f>IF(ISBLANK(Input!J8),0,VLOOKUP(Input!J8,ARO!B$4:$I$23,8,FALSE))</f>
        <v>8</v>
      </c>
      <c r="D16" s="2">
        <f>IF(B16+C16=0,IF(ISBLANK(Input!E8),"None",VLOOKUP(Input!E8,NAIC_PBR,2,FALSE)),ROUND((B16+C16)/COUNTIF(B16:C16,"&gt;0"),0))</f>
        <v>9</v>
      </c>
      <c r="E16" s="21">
        <f>IF(ISBLANK(Input!E8),"None",VLOOKUP(Input!E8,ARO!H$10:$I$16,2,FALSE))</f>
        <v>10</v>
      </c>
      <c r="F16">
        <f>IF(Input!B8="CML",PBRRating!E16,D16)</f>
        <v>9</v>
      </c>
    </row>
    <row r="17" spans="1:6" x14ac:dyDescent="0.25">
      <c r="A17" s="2">
        <f>+Input!A9</f>
        <v>4</v>
      </c>
      <c r="B17" s="21">
        <f>IF(ISBLANK(Input!I9),0,VLOOKUP(Input!I9,ARO!A$4:$I$23,9,FALSE))</f>
        <v>4</v>
      </c>
      <c r="C17" s="21">
        <f>IF(ISBLANK(Input!J9),0,VLOOKUP(Input!J9,ARO!B$4:$I$23,8,FALSE))</f>
        <v>3</v>
      </c>
      <c r="D17" s="2">
        <f>IF(B17+C17=0,IF(ISBLANK(Input!E9),"None",VLOOKUP(Input!E9,NAIC_PBR,2,FALSE)),ROUND((B17+C17)/COUNTIF(B17:C17,"&gt;0"),0))</f>
        <v>4</v>
      </c>
      <c r="E17" s="21">
        <f>IF(ISBLANK(Input!E9),"None",VLOOKUP(Input!E9,ARO!H$10:$I$16,2,FALSE))</f>
        <v>10</v>
      </c>
      <c r="F17">
        <f>IF(Input!B9="CML",PBRRating!E17,D17)</f>
        <v>4</v>
      </c>
    </row>
    <row r="18" spans="1:6" x14ac:dyDescent="0.25">
      <c r="A18" s="2">
        <f>+Input!A10</f>
        <v>5</v>
      </c>
      <c r="B18" s="21">
        <f>IF(ISBLANK(Input!I10),0,VLOOKUP(Input!I10,ARO!A$4:$I$23,9,FALSE))</f>
        <v>12</v>
      </c>
      <c r="C18" s="21">
        <f>IF(ISBLANK(Input!J10),0,VLOOKUP(Input!J10,ARO!B$4:$I$23,8,FALSE))</f>
        <v>13</v>
      </c>
      <c r="D18" s="2">
        <f>IF(B18+C18=0,IF(ISBLANK(Input!E10),"None",VLOOKUP(Input!E10,NAIC_PBR,2,FALSE)),ROUND((B18+C18)/COUNTIF(B18:C18,"&gt;0"),0))</f>
        <v>13</v>
      </c>
      <c r="E18" s="21">
        <f>IF(ISBLANK(Input!E10),"None",VLOOKUP(Input!E10,ARO!H$10:$I$16,2,FALSE))</f>
        <v>11</v>
      </c>
      <c r="F18">
        <f>IF(Input!B10="CML",PBRRating!E18,D18)</f>
        <v>13</v>
      </c>
    </row>
    <row r="19" spans="1:6" x14ac:dyDescent="0.25">
      <c r="A19" s="2">
        <f>+Input!A11</f>
        <v>6</v>
      </c>
      <c r="B19" s="21">
        <f>IF(ISBLANK(Input!I11),0,VLOOKUP(Input!I11,ARO!A$4:$I$23,9,FALSE))</f>
        <v>0</v>
      </c>
      <c r="C19" s="21">
        <f>IF(ISBLANK(Input!J11),0,VLOOKUP(Input!J11,ARO!B$4:$I$23,8,FALSE))</f>
        <v>0</v>
      </c>
      <c r="D19" s="2">
        <f>IF(B19+C19=0,IF(ISBLANK(Input!E11),"None",VLOOKUP(Input!E11,NAIC_PBR,2,FALSE)),ROUND((B19+C19)/COUNTIF(B19:C19,"&gt;0"),0))</f>
        <v>9</v>
      </c>
      <c r="E19" s="21">
        <f>IF(ISBLANK(Input!E11),"None",VLOOKUP(Input!E11,ARO!H$10:$I$16,2,FALSE))</f>
        <v>10</v>
      </c>
      <c r="F19">
        <f>IF(Input!B11="CML",PBRRating!E19,D19)</f>
        <v>10</v>
      </c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/>
  </sheetViews>
  <sheetFormatPr defaultRowHeight="15" x14ac:dyDescent="0.25"/>
  <cols>
    <col min="1" max="1" width="14.85546875" customWidth="1"/>
    <col min="2" max="2" width="12.5703125" customWidth="1"/>
    <col min="3" max="3" width="9.5703125" customWidth="1"/>
    <col min="4" max="4" width="11.5703125" customWidth="1"/>
    <col min="5" max="5" width="19" customWidth="1"/>
    <col min="6" max="6" width="13.85546875" customWidth="1"/>
    <col min="7" max="7" width="15.140625" customWidth="1"/>
    <col min="8" max="8" width="19.140625" customWidth="1"/>
    <col min="9" max="9" width="16.140625" customWidth="1"/>
    <col min="10" max="10" width="18.7109375" customWidth="1"/>
    <col min="11" max="11" width="18.85546875" customWidth="1"/>
    <col min="12" max="15" width="11.7109375" customWidth="1"/>
  </cols>
  <sheetData>
    <row r="1" spans="1:15" ht="18.75" x14ac:dyDescent="0.3">
      <c r="A1" s="1" t="s">
        <v>162</v>
      </c>
      <c r="L1" s="42" t="s">
        <v>173</v>
      </c>
      <c r="M1" s="42" t="s">
        <v>173</v>
      </c>
      <c r="N1" s="42" t="s">
        <v>173</v>
      </c>
      <c r="O1" s="42" t="s">
        <v>173</v>
      </c>
    </row>
    <row r="2" spans="1:15" x14ac:dyDescent="0.25">
      <c r="B2" s="38" t="s">
        <v>168</v>
      </c>
      <c r="C2" s="38" t="s">
        <v>168</v>
      </c>
      <c r="D2" s="39" t="s">
        <v>169</v>
      </c>
      <c r="E2" s="39" t="s">
        <v>169</v>
      </c>
      <c r="F2" s="39" t="s">
        <v>169</v>
      </c>
      <c r="G2" s="39" t="s">
        <v>169</v>
      </c>
      <c r="H2" s="39" t="s">
        <v>169</v>
      </c>
      <c r="I2" s="39" t="s">
        <v>169</v>
      </c>
      <c r="J2" s="39" t="s">
        <v>169</v>
      </c>
      <c r="K2" s="39" t="s">
        <v>169</v>
      </c>
      <c r="L2" s="39" t="s">
        <v>169</v>
      </c>
      <c r="M2" s="39" t="s">
        <v>169</v>
      </c>
      <c r="N2" s="39" t="s">
        <v>169</v>
      </c>
      <c r="O2" s="39" t="s">
        <v>169</v>
      </c>
    </row>
    <row r="4" spans="1:15" ht="15" customHeight="1" x14ac:dyDescent="0.25">
      <c r="H4" s="118" t="s">
        <v>156</v>
      </c>
      <c r="I4" s="118"/>
      <c r="J4" s="118"/>
      <c r="L4" s="119" t="s">
        <v>154</v>
      </c>
      <c r="M4" s="119"/>
      <c r="N4" s="119"/>
      <c r="O4" s="119"/>
    </row>
    <row r="5" spans="1:15" ht="45" x14ac:dyDescent="0.25">
      <c r="A5" s="29" t="s">
        <v>134</v>
      </c>
      <c r="B5" s="32" t="s">
        <v>126</v>
      </c>
      <c r="C5" s="32" t="s">
        <v>43</v>
      </c>
      <c r="D5" s="30" t="s">
        <v>144</v>
      </c>
      <c r="E5" s="31" t="s">
        <v>145</v>
      </c>
      <c r="F5" s="31" t="s">
        <v>146</v>
      </c>
      <c r="G5" s="31" t="s">
        <v>159</v>
      </c>
      <c r="H5" s="41" t="s">
        <v>158</v>
      </c>
      <c r="I5" s="41" t="s">
        <v>148</v>
      </c>
      <c r="J5" s="41" t="s">
        <v>157</v>
      </c>
      <c r="K5" s="31" t="s">
        <v>175</v>
      </c>
      <c r="L5" s="44" t="s">
        <v>151</v>
      </c>
      <c r="M5" s="44" t="s">
        <v>152</v>
      </c>
      <c r="N5" s="44" t="s">
        <v>153</v>
      </c>
      <c r="O5" s="44" t="s">
        <v>155</v>
      </c>
    </row>
    <row r="6" spans="1:15" x14ac:dyDescent="0.25">
      <c r="A6" s="33" t="s">
        <v>150</v>
      </c>
      <c r="B6" s="33">
        <f>+Input!N6</f>
        <v>9</v>
      </c>
      <c r="C6" s="33">
        <f>+Input!M6</f>
        <v>13</v>
      </c>
      <c r="D6" s="37">
        <f>INDEX(BaselineFactor,MIN(B6,20),MIN(C6,10))</f>
        <v>56</v>
      </c>
      <c r="E6" s="27">
        <f>INDEX(CurrentSpreadFactor,MIN(C7,30),MIN(B6,20))</f>
        <v>152.29</v>
      </c>
      <c r="F6" s="105">
        <f>INDEX(LongtermSpreadFactor,MIN(C6,30),MIN(B6,20))</f>
        <v>211.1</v>
      </c>
      <c r="G6" s="107">
        <f>MIN(MAX(0.25*(E6-F6),-D6),2*D6)</f>
        <v>-14.702500000000001</v>
      </c>
      <c r="H6" s="107">
        <f>+E6-D6-G6-Input!O6</f>
        <v>100.99249999999999</v>
      </c>
      <c r="I6" s="36"/>
      <c r="J6" s="108">
        <f>SUMPRODUCT(H7:H12,I7:I12)/SUM(I7:I12)</f>
        <v>120.52122448979591</v>
      </c>
      <c r="K6" s="107">
        <f>MAX(J6-H6,0)</f>
        <v>19.52872448979592</v>
      </c>
      <c r="L6" s="23"/>
      <c r="M6" s="23"/>
      <c r="N6" s="23"/>
      <c r="O6" s="23"/>
    </row>
    <row r="7" spans="1:15" x14ac:dyDescent="0.25">
      <c r="A7" s="2">
        <f>+Input!A6</f>
        <v>1</v>
      </c>
      <c r="B7" s="2">
        <f>+Input!C6</f>
        <v>1</v>
      </c>
      <c r="C7" s="2">
        <f>+Input!D6</f>
        <v>2</v>
      </c>
      <c r="D7" s="22">
        <f t="shared" ref="D7:D12" si="0">INDEX(BaselineFactor,MIN(B7,20),MIN(C7,10))</f>
        <v>0</v>
      </c>
      <c r="E7">
        <f t="shared" ref="E7:E12" si="1">INDEX(CurrentSpreadFactor,MIN(C7,30),MIN(B7,20))</f>
        <v>26.39</v>
      </c>
      <c r="F7" s="106">
        <f t="shared" ref="F7:F12" si="2">INDEX(LongtermSpreadFactor,MIN(C7,30),MIN(B7,20))</f>
        <v>50.19</v>
      </c>
      <c r="G7" s="103">
        <f t="shared" ref="G7" si="3">MIN(MAX(0.25*(E7-F7),-D7),2*D7)</f>
        <v>0</v>
      </c>
      <c r="H7" s="103">
        <f>Input!G6-D7-G7-Input!F6</f>
        <v>28</v>
      </c>
      <c r="I7" s="3">
        <f>Input!H6*MIN(Input!D6,3)</f>
        <v>4000000</v>
      </c>
      <c r="L7" s="23">
        <f t="shared" ref="L7:L12" si="4">+$D7+($G7+$K$6)</f>
        <v>19.52872448979592</v>
      </c>
      <c r="M7" s="23">
        <f t="shared" ref="M7:M12" si="5">+$D7+($G7+$K$6)*2/3</f>
        <v>13.019149659863947</v>
      </c>
      <c r="N7" s="23">
        <f t="shared" ref="N7:N12" si="6">+$D7+($G7+$K$6)/3</f>
        <v>6.5095748299319736</v>
      </c>
      <c r="O7" s="23">
        <f t="shared" ref="O7:O12" si="7">+$D7</f>
        <v>0</v>
      </c>
    </row>
    <row r="8" spans="1:15" x14ac:dyDescent="0.25">
      <c r="A8" s="2">
        <f>+Input!A7</f>
        <v>2</v>
      </c>
      <c r="B8" s="2">
        <f>+Input!C7</f>
        <v>7</v>
      </c>
      <c r="C8" s="2">
        <f>+Input!D7</f>
        <v>5</v>
      </c>
      <c r="D8" s="22">
        <f t="shared" si="0"/>
        <v>21.1</v>
      </c>
      <c r="E8">
        <f t="shared" si="1"/>
        <v>138.18</v>
      </c>
      <c r="F8" s="106">
        <f t="shared" si="2"/>
        <v>149.16999999999999</v>
      </c>
      <c r="G8" s="103">
        <f t="shared" ref="G8" si="8">MIN(MAX(0.25*(E8-F8),-D8),2*D8)</f>
        <v>-2.7474999999999952</v>
      </c>
      <c r="H8" s="103">
        <f>Input!G7-D8-G8-Input!F7</f>
        <v>49.647499999999994</v>
      </c>
      <c r="I8" s="3">
        <f>Input!H7*MIN(Input!D7,3)</f>
        <v>9000000</v>
      </c>
      <c r="L8" s="23">
        <f t="shared" si="4"/>
        <v>37.881224489795926</v>
      </c>
      <c r="M8" s="23">
        <f t="shared" si="5"/>
        <v>32.287482993197287</v>
      </c>
      <c r="N8" s="23">
        <f t="shared" si="6"/>
        <v>26.693741496598644</v>
      </c>
      <c r="O8" s="23">
        <f t="shared" si="7"/>
        <v>21.1</v>
      </c>
    </row>
    <row r="9" spans="1:15" x14ac:dyDescent="0.25">
      <c r="A9" s="2">
        <f>+Input!A8</f>
        <v>3</v>
      </c>
      <c r="B9" s="2">
        <f>+Input!C8</f>
        <v>9</v>
      </c>
      <c r="C9" s="2">
        <f>+Input!D8</f>
        <v>10</v>
      </c>
      <c r="D9" s="22">
        <f t="shared" si="0"/>
        <v>56</v>
      </c>
      <c r="E9">
        <f t="shared" si="1"/>
        <v>231.66</v>
      </c>
      <c r="F9" s="106">
        <f t="shared" si="2"/>
        <v>208.4</v>
      </c>
      <c r="G9" s="103">
        <f t="shared" ref="G9:G11" si="9">MIN(MAX(0.25*(E9-F9),-D9),2*D9)</f>
        <v>5.8149999999999977</v>
      </c>
      <c r="H9" s="103">
        <f>Input!G8-D9-G9-Input!F8</f>
        <v>146.185</v>
      </c>
      <c r="I9" s="3">
        <f>Input!H8*MIN(Input!D8,3)</f>
        <v>15000000</v>
      </c>
      <c r="L9" s="23">
        <f t="shared" si="4"/>
        <v>81.343724489795918</v>
      </c>
      <c r="M9" s="23">
        <f t="shared" si="5"/>
        <v>72.895816326530607</v>
      </c>
      <c r="N9" s="23">
        <f t="shared" si="6"/>
        <v>64.447908163265311</v>
      </c>
      <c r="O9" s="23">
        <f t="shared" si="7"/>
        <v>56</v>
      </c>
    </row>
    <row r="10" spans="1:15" x14ac:dyDescent="0.25">
      <c r="A10" s="2">
        <f>+Input!A9</f>
        <v>4</v>
      </c>
      <c r="B10" s="2">
        <f>+Input!C9</f>
        <v>4</v>
      </c>
      <c r="C10" s="2">
        <f>+Input!D9</f>
        <v>20</v>
      </c>
      <c r="D10" s="22">
        <f t="shared" si="0"/>
        <v>7</v>
      </c>
      <c r="E10">
        <f t="shared" si="1"/>
        <v>158.79</v>
      </c>
      <c r="F10" s="106">
        <f t="shared" si="2"/>
        <v>135.58000000000001</v>
      </c>
      <c r="G10" s="103">
        <f t="shared" si="9"/>
        <v>5.8024999999999949</v>
      </c>
      <c r="H10" s="103">
        <f>Input!G9-D10-G10-Input!F9</f>
        <v>155.19749999999999</v>
      </c>
      <c r="I10" s="3">
        <f>Input!H9*MIN(Input!D9,3)</f>
        <v>6000000</v>
      </c>
      <c r="L10" s="23">
        <f t="shared" si="4"/>
        <v>32.331224489795915</v>
      </c>
      <c r="M10" s="23">
        <f t="shared" si="5"/>
        <v>23.887482993197278</v>
      </c>
      <c r="N10" s="23">
        <f t="shared" si="6"/>
        <v>15.443741496598639</v>
      </c>
      <c r="O10" s="23">
        <f t="shared" si="7"/>
        <v>7</v>
      </c>
    </row>
    <row r="11" spans="1:15" x14ac:dyDescent="0.25">
      <c r="A11" s="2">
        <f>+Input!A10</f>
        <v>5</v>
      </c>
      <c r="B11" s="2">
        <f>+Input!C10</f>
        <v>13</v>
      </c>
      <c r="C11" s="2">
        <f>+Input!D10</f>
        <v>30</v>
      </c>
      <c r="D11" s="22">
        <f t="shared" si="0"/>
        <v>285.60000000000002</v>
      </c>
      <c r="E11">
        <f t="shared" si="1"/>
        <v>508.73</v>
      </c>
      <c r="F11" s="106">
        <f t="shared" si="2"/>
        <v>446.56</v>
      </c>
      <c r="G11" s="103">
        <f t="shared" si="9"/>
        <v>15.542500000000004</v>
      </c>
      <c r="H11" s="103">
        <f>Input!G10-D11-G11-Input!F10</f>
        <v>-13.142500000000027</v>
      </c>
      <c r="I11" s="3">
        <f>Input!H10*MIN(Input!D10,3)</f>
        <v>3000000</v>
      </c>
      <c r="L11" s="23">
        <f t="shared" si="4"/>
        <v>320.67122448979592</v>
      </c>
      <c r="M11" s="23">
        <f t="shared" si="5"/>
        <v>308.98081632653066</v>
      </c>
      <c r="N11" s="23">
        <f t="shared" si="6"/>
        <v>297.29040816326534</v>
      </c>
      <c r="O11" s="23">
        <f t="shared" si="7"/>
        <v>285.60000000000002</v>
      </c>
    </row>
    <row r="12" spans="1:15" x14ac:dyDescent="0.25">
      <c r="A12" s="2">
        <f>+Input!A11</f>
        <v>6</v>
      </c>
      <c r="B12" s="2">
        <f>+Input!C11</f>
        <v>10</v>
      </c>
      <c r="C12" s="2">
        <f>+Input!D11</f>
        <v>20</v>
      </c>
      <c r="D12" s="22">
        <f t="shared" si="0"/>
        <v>101.7</v>
      </c>
      <c r="E12">
        <f t="shared" si="1"/>
        <v>310.87</v>
      </c>
      <c r="F12" s="106">
        <f t="shared" si="2"/>
        <v>271.73</v>
      </c>
      <c r="G12" s="103">
        <f t="shared" ref="G12" si="10">MIN(MAX(0.25*(E12-F12),-D12),2*D12)</f>
        <v>9.7849999999999966</v>
      </c>
      <c r="H12" s="103">
        <f>Input!G11-D12-G12-Input!F11</f>
        <v>188.51500000000001</v>
      </c>
      <c r="I12" s="3">
        <f>Input!H11*MIN(Input!D11,3)</f>
        <v>12000000</v>
      </c>
      <c r="L12" s="23">
        <f t="shared" si="4"/>
        <v>131.01372448979592</v>
      </c>
      <c r="M12" s="23">
        <f t="shared" si="5"/>
        <v>121.24248299319729</v>
      </c>
      <c r="N12" s="23">
        <f t="shared" si="6"/>
        <v>111.47124149659864</v>
      </c>
      <c r="O12" s="23">
        <f t="shared" si="7"/>
        <v>101.7</v>
      </c>
    </row>
  </sheetData>
  <mergeCells count="2">
    <mergeCell ref="H4:J4"/>
    <mergeCell ref="L4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/>
  </sheetViews>
  <sheetFormatPr defaultRowHeight="15" x14ac:dyDescent="0.25"/>
  <cols>
    <col min="1" max="1" width="14.85546875" customWidth="1"/>
    <col min="2" max="3" width="12.5703125" customWidth="1"/>
    <col min="4" max="4" width="11.5703125" customWidth="1"/>
    <col min="5" max="5" width="19" customWidth="1"/>
    <col min="6" max="6" width="13.85546875" customWidth="1"/>
    <col min="7" max="7" width="15.140625" customWidth="1"/>
    <col min="8" max="15" width="12.7109375" customWidth="1"/>
  </cols>
  <sheetData>
    <row r="1" spans="1:15" ht="18.75" x14ac:dyDescent="0.3">
      <c r="A1" s="1" t="s">
        <v>165</v>
      </c>
      <c r="H1" s="42" t="s">
        <v>173</v>
      </c>
      <c r="I1" s="42" t="s">
        <v>173</v>
      </c>
      <c r="J1" s="42" t="s">
        <v>173</v>
      </c>
      <c r="K1" s="42" t="s">
        <v>173</v>
      </c>
      <c r="L1" s="42" t="s">
        <v>173</v>
      </c>
      <c r="M1" s="42" t="s">
        <v>173</v>
      </c>
      <c r="N1" s="42" t="s">
        <v>173</v>
      </c>
      <c r="O1" s="42" t="s">
        <v>173</v>
      </c>
    </row>
    <row r="2" spans="1:15" x14ac:dyDescent="0.25">
      <c r="B2" s="38" t="s">
        <v>168</v>
      </c>
      <c r="C2" s="38" t="s">
        <v>168</v>
      </c>
      <c r="D2" s="39" t="s">
        <v>169</v>
      </c>
      <c r="E2" s="39" t="s">
        <v>169</v>
      </c>
      <c r="F2" s="39" t="s">
        <v>169</v>
      </c>
      <c r="G2" s="39" t="s">
        <v>169</v>
      </c>
      <c r="H2" s="39" t="s">
        <v>169</v>
      </c>
      <c r="I2" s="39" t="s">
        <v>169</v>
      </c>
      <c r="J2" s="39" t="s">
        <v>169</v>
      </c>
      <c r="K2" s="39" t="s">
        <v>169</v>
      </c>
      <c r="L2" s="39" t="s">
        <v>169</v>
      </c>
      <c r="M2" s="39" t="s">
        <v>169</v>
      </c>
      <c r="N2" s="39" t="s">
        <v>169</v>
      </c>
      <c r="O2" s="39" t="s">
        <v>169</v>
      </c>
    </row>
    <row r="3" spans="1:15" ht="15" customHeight="1" x14ac:dyDescent="0.25">
      <c r="H3" s="119" t="s">
        <v>154</v>
      </c>
      <c r="I3" s="119"/>
      <c r="J3" s="119"/>
      <c r="K3" s="119"/>
      <c r="L3" s="120" t="s">
        <v>166</v>
      </c>
      <c r="M3" s="120"/>
      <c r="N3" s="120"/>
      <c r="O3" s="120"/>
    </row>
    <row r="4" spans="1:15" ht="45" x14ac:dyDescent="0.25">
      <c r="A4" s="29" t="s">
        <v>171</v>
      </c>
      <c r="B4" s="32" t="s">
        <v>126</v>
      </c>
      <c r="C4" s="32" t="s">
        <v>43</v>
      </c>
      <c r="D4" s="30" t="s">
        <v>144</v>
      </c>
      <c r="E4" s="31" t="s">
        <v>145</v>
      </c>
      <c r="F4" s="31" t="s">
        <v>146</v>
      </c>
      <c r="G4" s="31" t="s">
        <v>159</v>
      </c>
      <c r="H4" s="44" t="s">
        <v>151</v>
      </c>
      <c r="I4" s="44" t="s">
        <v>152</v>
      </c>
      <c r="J4" s="44" t="s">
        <v>153</v>
      </c>
      <c r="K4" s="44" t="s">
        <v>155</v>
      </c>
      <c r="L4" s="40" t="s">
        <v>151</v>
      </c>
      <c r="M4" s="40" t="s">
        <v>152</v>
      </c>
      <c r="N4" s="40" t="s">
        <v>153</v>
      </c>
      <c r="O4" s="40" t="s">
        <v>155</v>
      </c>
    </row>
    <row r="5" spans="1:15" x14ac:dyDescent="0.25">
      <c r="A5" s="2">
        <f>+Benchmark!A5</f>
        <v>1</v>
      </c>
      <c r="B5" s="2">
        <f>+Benchmark!C5</f>
        <v>1</v>
      </c>
      <c r="C5" s="2">
        <f>+Benchmark!D5</f>
        <v>2</v>
      </c>
      <c r="D5" s="22">
        <f t="shared" ref="D5:D15" si="0">INDEX(BaselineFactor,MIN(B5,20),MIN(C5,10))</f>
        <v>0</v>
      </c>
      <c r="E5">
        <f t="shared" ref="E5:E15" si="1">INDEX(CurrentSpreadFactor,MIN(C5,30),MIN(B5,20))</f>
        <v>26.39</v>
      </c>
      <c r="F5">
        <f t="shared" ref="F5:F15" si="2">INDEX(LongtermSpreadFactor,MIN(C5,30),MIN(B5,20))</f>
        <v>50.19</v>
      </c>
      <c r="G5" s="104">
        <f t="shared" ref="G5:G7" si="3">MIN(MAX(0.25*(E5-F5),-D5),2*D5)</f>
        <v>0</v>
      </c>
      <c r="H5" s="104">
        <f>D5+G5</f>
        <v>0</v>
      </c>
      <c r="I5" s="104">
        <f>D5+G5*2/3</f>
        <v>0</v>
      </c>
      <c r="J5" s="104">
        <f>D5+G5/3</f>
        <v>0</v>
      </c>
      <c r="K5" s="104">
        <f t="shared" ref="K5:K15" si="4">+$D5</f>
        <v>0</v>
      </c>
      <c r="L5" s="104">
        <f>+E5</f>
        <v>26.39</v>
      </c>
      <c r="M5" s="104">
        <f>2*L5/3+O5/3</f>
        <v>34.323333333333338</v>
      </c>
      <c r="N5" s="104">
        <f>L5/3+2*O5/3</f>
        <v>42.256666666666668</v>
      </c>
      <c r="O5" s="104">
        <f>+F5</f>
        <v>50.19</v>
      </c>
    </row>
    <row r="6" spans="1:15" x14ac:dyDescent="0.25">
      <c r="A6" s="2">
        <f>+Benchmark!A6</f>
        <v>2</v>
      </c>
      <c r="B6" s="2">
        <f>+Benchmark!C6</f>
        <v>3</v>
      </c>
      <c r="C6" s="2">
        <f>+Benchmark!D6</f>
        <v>2</v>
      </c>
      <c r="D6" s="22">
        <f t="shared" si="0"/>
        <v>1</v>
      </c>
      <c r="E6">
        <f t="shared" si="1"/>
        <v>55.01</v>
      </c>
      <c r="F6">
        <f t="shared" si="2"/>
        <v>67.42</v>
      </c>
      <c r="G6" s="104">
        <f t="shared" si="3"/>
        <v>-1</v>
      </c>
      <c r="H6" s="104">
        <f>D6+G6</f>
        <v>0</v>
      </c>
      <c r="I6" s="104">
        <f>D6+G6*2/3</f>
        <v>0.33333333333333337</v>
      </c>
      <c r="J6" s="104">
        <f>D6+G6/3</f>
        <v>0.66666666666666674</v>
      </c>
      <c r="K6" s="104">
        <f t="shared" si="4"/>
        <v>1</v>
      </c>
      <c r="L6" s="104">
        <f t="shared" ref="L6" si="5">+E6</f>
        <v>55.01</v>
      </c>
      <c r="M6" s="104">
        <f t="shared" ref="M6" si="6">2*L6/3+O6/3</f>
        <v>59.146666666666661</v>
      </c>
      <c r="N6" s="104">
        <f t="shared" ref="N6" si="7">L6/3+2*O6/3</f>
        <v>63.283333333333331</v>
      </c>
      <c r="O6" s="104">
        <f t="shared" ref="O6" si="8">+F6</f>
        <v>67.42</v>
      </c>
    </row>
    <row r="7" spans="1:15" x14ac:dyDescent="0.25">
      <c r="A7" s="2">
        <f>+Benchmark!A7</f>
        <v>3</v>
      </c>
      <c r="B7" s="2">
        <f>+Benchmark!C7</f>
        <v>3</v>
      </c>
      <c r="C7" s="2">
        <f>+Benchmark!D7</f>
        <v>5</v>
      </c>
      <c r="D7" s="22">
        <f t="shared" si="0"/>
        <v>2.5</v>
      </c>
      <c r="E7">
        <f t="shared" si="1"/>
        <v>80.84</v>
      </c>
      <c r="F7">
        <f t="shared" si="2"/>
        <v>95.44</v>
      </c>
      <c r="G7" s="104">
        <f t="shared" si="3"/>
        <v>-2.5</v>
      </c>
      <c r="H7" s="104">
        <f t="shared" ref="H7" si="9">D7+G7</f>
        <v>0</v>
      </c>
      <c r="I7" s="104">
        <f t="shared" ref="I7" si="10">D7+G7*2/3</f>
        <v>0.83333333333333326</v>
      </c>
      <c r="J7" s="104">
        <f t="shared" ref="J7" si="11">D7+G7/3</f>
        <v>1.6666666666666665</v>
      </c>
      <c r="K7" s="104">
        <f t="shared" si="4"/>
        <v>2.5</v>
      </c>
      <c r="L7" s="104">
        <f t="shared" ref="L7" si="12">+E7</f>
        <v>80.84</v>
      </c>
      <c r="M7" s="104">
        <f t="shared" ref="M7" si="13">2*L7/3+O7/3</f>
        <v>85.706666666666678</v>
      </c>
      <c r="N7" s="104">
        <f t="shared" ref="N7" si="14">L7/3+2*O7/3</f>
        <v>90.573333333333338</v>
      </c>
      <c r="O7" s="104">
        <f t="shared" ref="O7" si="15">+F7</f>
        <v>95.44</v>
      </c>
    </row>
    <row r="8" spans="1:15" x14ac:dyDescent="0.25">
      <c r="A8" s="2">
        <f>+Benchmark!A8</f>
        <v>4</v>
      </c>
      <c r="B8" s="2">
        <f>+Benchmark!C8</f>
        <v>5</v>
      </c>
      <c r="C8" s="2">
        <f>+Benchmark!D8</f>
        <v>5</v>
      </c>
      <c r="D8" s="22">
        <f t="shared" si="0"/>
        <v>9.6</v>
      </c>
      <c r="E8">
        <f t="shared" si="1"/>
        <v>97.88</v>
      </c>
      <c r="F8">
        <f t="shared" si="2"/>
        <v>115.97</v>
      </c>
      <c r="G8" s="104">
        <f t="shared" ref="G8:G15" si="16">MIN(MAX(0.25*(E8-F8),-D8),2*D8)</f>
        <v>-4.5225000000000009</v>
      </c>
      <c r="H8" s="104">
        <f t="shared" ref="H8:H15" si="17">D8+G8</f>
        <v>5.0774999999999988</v>
      </c>
      <c r="I8" s="104">
        <f t="shared" ref="I8:I15" si="18">D8+G8*2/3</f>
        <v>6.5849999999999991</v>
      </c>
      <c r="J8" s="104">
        <f t="shared" ref="J8:J15" si="19">D8+G8/3</f>
        <v>8.0924999999999994</v>
      </c>
      <c r="K8" s="104">
        <f t="shared" si="4"/>
        <v>9.6</v>
      </c>
      <c r="L8" s="104">
        <f t="shared" ref="L8:L15" si="20">+E8</f>
        <v>97.88</v>
      </c>
      <c r="M8" s="104">
        <f t="shared" ref="M8:M15" si="21">2*L8/3+O8/3</f>
        <v>103.91</v>
      </c>
      <c r="N8" s="104">
        <f t="shared" ref="N8:N15" si="22">L8/3+2*O8/3</f>
        <v>109.94</v>
      </c>
      <c r="O8" s="104">
        <f t="shared" ref="O8:O15" si="23">+F8</f>
        <v>115.97</v>
      </c>
    </row>
    <row r="9" spans="1:15" x14ac:dyDescent="0.25">
      <c r="A9" s="2">
        <f>+Benchmark!A9</f>
        <v>5</v>
      </c>
      <c r="B9" s="2">
        <f>+Benchmark!C9</f>
        <v>3</v>
      </c>
      <c r="C9" s="2">
        <f>+Benchmark!D9</f>
        <v>10</v>
      </c>
      <c r="D9" s="22">
        <f t="shared" si="0"/>
        <v>3.5</v>
      </c>
      <c r="E9">
        <f t="shared" si="1"/>
        <v>115.41</v>
      </c>
      <c r="F9">
        <f t="shared" si="2"/>
        <v>114.94</v>
      </c>
      <c r="G9" s="104">
        <f t="shared" si="16"/>
        <v>0.11749999999999972</v>
      </c>
      <c r="H9" s="104">
        <f t="shared" si="17"/>
        <v>3.6174999999999997</v>
      </c>
      <c r="I9" s="104">
        <f t="shared" si="18"/>
        <v>3.5783333333333331</v>
      </c>
      <c r="J9" s="104">
        <f t="shared" si="19"/>
        <v>3.5391666666666666</v>
      </c>
      <c r="K9" s="104">
        <f t="shared" si="4"/>
        <v>3.5</v>
      </c>
      <c r="L9" s="104">
        <f t="shared" si="20"/>
        <v>115.41</v>
      </c>
      <c r="M9" s="104">
        <f t="shared" si="21"/>
        <v>115.25333333333333</v>
      </c>
      <c r="N9" s="104">
        <f t="shared" si="22"/>
        <v>115.09666666666666</v>
      </c>
      <c r="O9" s="104">
        <f t="shared" si="23"/>
        <v>114.94</v>
      </c>
    </row>
    <row r="10" spans="1:15" x14ac:dyDescent="0.25">
      <c r="A10" s="2">
        <f>+Benchmark!A10</f>
        <v>6</v>
      </c>
      <c r="B10" s="2">
        <f>+Benchmark!C10</f>
        <v>6</v>
      </c>
      <c r="C10" s="2">
        <f>+Benchmark!D10</f>
        <v>10</v>
      </c>
      <c r="D10" s="22">
        <f t="shared" si="0"/>
        <v>21.1</v>
      </c>
      <c r="E10">
        <f t="shared" si="1"/>
        <v>136.4</v>
      </c>
      <c r="F10">
        <f t="shared" si="2"/>
        <v>139.96</v>
      </c>
      <c r="G10" s="104">
        <f t="shared" si="16"/>
        <v>-0.89000000000000057</v>
      </c>
      <c r="H10" s="104">
        <f t="shared" si="17"/>
        <v>20.21</v>
      </c>
      <c r="I10" s="104">
        <f t="shared" si="18"/>
        <v>20.506666666666668</v>
      </c>
      <c r="J10" s="104">
        <f t="shared" si="19"/>
        <v>20.803333333333335</v>
      </c>
      <c r="K10" s="104">
        <f t="shared" si="4"/>
        <v>21.1</v>
      </c>
      <c r="L10" s="104">
        <f t="shared" si="20"/>
        <v>136.4</v>
      </c>
      <c r="M10" s="104">
        <f t="shared" si="21"/>
        <v>137.58666666666667</v>
      </c>
      <c r="N10" s="104">
        <f t="shared" si="22"/>
        <v>138.77333333333334</v>
      </c>
      <c r="O10" s="104">
        <f t="shared" si="23"/>
        <v>139.96</v>
      </c>
    </row>
    <row r="11" spans="1:15" x14ac:dyDescent="0.25">
      <c r="A11" s="2">
        <f>+Benchmark!A11</f>
        <v>7</v>
      </c>
      <c r="B11" s="2">
        <f>+Benchmark!C11</f>
        <v>3</v>
      </c>
      <c r="C11" s="2">
        <f>+Benchmark!D11</f>
        <v>20</v>
      </c>
      <c r="D11" s="22">
        <f t="shared" si="0"/>
        <v>3.5</v>
      </c>
      <c r="E11">
        <f t="shared" si="1"/>
        <v>153.43</v>
      </c>
      <c r="F11">
        <f t="shared" si="2"/>
        <v>128.18</v>
      </c>
      <c r="G11" s="104">
        <f t="shared" si="16"/>
        <v>6.3125</v>
      </c>
      <c r="H11" s="104">
        <f t="shared" si="17"/>
        <v>9.8125</v>
      </c>
      <c r="I11" s="104">
        <f t="shared" si="18"/>
        <v>7.708333333333333</v>
      </c>
      <c r="J11" s="104">
        <f t="shared" si="19"/>
        <v>5.6041666666666661</v>
      </c>
      <c r="K11" s="104">
        <f t="shared" si="4"/>
        <v>3.5</v>
      </c>
      <c r="L11" s="104">
        <f t="shared" si="20"/>
        <v>153.43</v>
      </c>
      <c r="M11" s="104">
        <f t="shared" si="21"/>
        <v>145.01333333333335</v>
      </c>
      <c r="N11" s="104">
        <f t="shared" si="22"/>
        <v>136.59666666666666</v>
      </c>
      <c r="O11" s="104">
        <f t="shared" si="23"/>
        <v>128.18</v>
      </c>
    </row>
    <row r="12" spans="1:15" x14ac:dyDescent="0.25">
      <c r="A12" s="2">
        <f>+Benchmark!A12</f>
        <v>8</v>
      </c>
      <c r="B12" s="2">
        <f>+Benchmark!C12</f>
        <v>6</v>
      </c>
      <c r="C12" s="2">
        <f>+Benchmark!D12</f>
        <v>20</v>
      </c>
      <c r="D12" s="22">
        <f t="shared" si="0"/>
        <v>21.1</v>
      </c>
      <c r="E12">
        <f t="shared" si="1"/>
        <v>169.51</v>
      </c>
      <c r="F12">
        <f t="shared" si="2"/>
        <v>150.4</v>
      </c>
      <c r="G12" s="104">
        <f t="shared" si="16"/>
        <v>4.7774999999999963</v>
      </c>
      <c r="H12" s="104">
        <f t="shared" si="17"/>
        <v>25.877499999999998</v>
      </c>
      <c r="I12" s="104">
        <f t="shared" si="18"/>
        <v>24.285</v>
      </c>
      <c r="J12" s="104">
        <f t="shared" si="19"/>
        <v>22.692499999999999</v>
      </c>
      <c r="K12" s="104">
        <f t="shared" si="4"/>
        <v>21.1</v>
      </c>
      <c r="L12" s="104">
        <f t="shared" si="20"/>
        <v>169.51</v>
      </c>
      <c r="M12" s="104">
        <f t="shared" si="21"/>
        <v>163.13999999999999</v>
      </c>
      <c r="N12" s="104">
        <f t="shared" si="22"/>
        <v>156.76999999999998</v>
      </c>
      <c r="O12" s="104">
        <f t="shared" si="23"/>
        <v>150.4</v>
      </c>
    </row>
    <row r="13" spans="1:15" x14ac:dyDescent="0.25">
      <c r="A13" s="2">
        <f>+Benchmark!A13</f>
        <v>9</v>
      </c>
      <c r="B13" s="2">
        <f>+Benchmark!C13</f>
        <v>7</v>
      </c>
      <c r="C13" s="2">
        <f>+Benchmark!D13</f>
        <v>5</v>
      </c>
      <c r="D13" s="22">
        <f t="shared" si="0"/>
        <v>21.1</v>
      </c>
      <c r="E13">
        <f t="shared" si="1"/>
        <v>138.18</v>
      </c>
      <c r="F13">
        <f t="shared" si="2"/>
        <v>149.16999999999999</v>
      </c>
      <c r="G13" s="104">
        <f t="shared" si="16"/>
        <v>-2.7474999999999952</v>
      </c>
      <c r="H13" s="104">
        <f t="shared" si="17"/>
        <v>18.352500000000006</v>
      </c>
      <c r="I13" s="104">
        <f t="shared" si="18"/>
        <v>19.268333333333338</v>
      </c>
      <c r="J13" s="104">
        <f t="shared" si="19"/>
        <v>20.18416666666667</v>
      </c>
      <c r="K13" s="104">
        <f t="shared" si="4"/>
        <v>21.1</v>
      </c>
      <c r="L13" s="104">
        <f t="shared" si="20"/>
        <v>138.18</v>
      </c>
      <c r="M13" s="104">
        <f t="shared" si="21"/>
        <v>141.84333333333333</v>
      </c>
      <c r="N13" s="104">
        <f t="shared" si="22"/>
        <v>145.50666666666666</v>
      </c>
      <c r="O13" s="104">
        <f t="shared" si="23"/>
        <v>149.16999999999999</v>
      </c>
    </row>
    <row r="14" spans="1:15" x14ac:dyDescent="0.25">
      <c r="A14" s="2">
        <f>+Benchmark!A14</f>
        <v>10</v>
      </c>
      <c r="B14" s="2">
        <f>+Benchmark!C14</f>
        <v>7</v>
      </c>
      <c r="C14" s="2">
        <f>+Benchmark!D14</f>
        <v>10</v>
      </c>
      <c r="D14" s="22">
        <f t="shared" si="0"/>
        <v>26.3</v>
      </c>
      <c r="E14">
        <f t="shared" si="1"/>
        <v>168.15</v>
      </c>
      <c r="F14">
        <f t="shared" si="2"/>
        <v>162.78</v>
      </c>
      <c r="G14" s="104">
        <f t="shared" si="16"/>
        <v>1.3425000000000011</v>
      </c>
      <c r="H14" s="104">
        <f t="shared" si="17"/>
        <v>27.642500000000002</v>
      </c>
      <c r="I14" s="104">
        <f t="shared" si="18"/>
        <v>27.195</v>
      </c>
      <c r="J14" s="104">
        <f t="shared" si="19"/>
        <v>26.747500000000002</v>
      </c>
      <c r="K14" s="104">
        <f t="shared" si="4"/>
        <v>26.3</v>
      </c>
      <c r="L14" s="104">
        <f t="shared" si="20"/>
        <v>168.15</v>
      </c>
      <c r="M14" s="104">
        <f t="shared" si="21"/>
        <v>166.36</v>
      </c>
      <c r="N14" s="104">
        <f t="shared" si="22"/>
        <v>164.57</v>
      </c>
      <c r="O14" s="104">
        <f t="shared" si="23"/>
        <v>162.78</v>
      </c>
    </row>
    <row r="15" spans="1:15" x14ac:dyDescent="0.25">
      <c r="A15" s="2">
        <f>+Benchmark!A15</f>
        <v>11</v>
      </c>
      <c r="B15" s="2">
        <f>+Benchmark!C15</f>
        <v>7</v>
      </c>
      <c r="C15" s="2">
        <f>+Benchmark!D15</f>
        <v>20</v>
      </c>
      <c r="D15" s="22">
        <f t="shared" si="0"/>
        <v>26.3</v>
      </c>
      <c r="E15">
        <f t="shared" si="1"/>
        <v>204.07</v>
      </c>
      <c r="F15">
        <f t="shared" si="2"/>
        <v>172.73</v>
      </c>
      <c r="G15" s="104">
        <f t="shared" si="16"/>
        <v>7.8350000000000009</v>
      </c>
      <c r="H15" s="104">
        <f t="shared" si="17"/>
        <v>34.135000000000005</v>
      </c>
      <c r="I15" s="104">
        <f t="shared" si="18"/>
        <v>31.523333333333333</v>
      </c>
      <c r="J15" s="104">
        <f t="shared" si="19"/>
        <v>28.911666666666669</v>
      </c>
      <c r="K15" s="104">
        <f t="shared" si="4"/>
        <v>26.3</v>
      </c>
      <c r="L15" s="104">
        <f t="shared" si="20"/>
        <v>204.07</v>
      </c>
      <c r="M15" s="104">
        <f t="shared" si="21"/>
        <v>193.62333333333331</v>
      </c>
      <c r="N15" s="104">
        <f t="shared" si="22"/>
        <v>183.17666666666665</v>
      </c>
      <c r="O15" s="104">
        <f t="shared" si="23"/>
        <v>172.73</v>
      </c>
    </row>
  </sheetData>
  <mergeCells count="2">
    <mergeCell ref="H3:K3"/>
    <mergeCell ref="L3:O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Normal="100" workbookViewId="0"/>
  </sheetViews>
  <sheetFormatPr defaultRowHeight="15" x14ac:dyDescent="0.25"/>
  <cols>
    <col min="1" max="1" width="12.42578125" customWidth="1"/>
    <col min="2" max="2" width="15.42578125" customWidth="1"/>
    <col min="3" max="3" width="15.85546875" customWidth="1"/>
    <col min="4" max="4" width="19.42578125" customWidth="1"/>
    <col min="5" max="5" width="14.85546875" customWidth="1"/>
  </cols>
  <sheetData>
    <row r="1" spans="1:5" ht="18.75" x14ac:dyDescent="0.3">
      <c r="A1" s="1" t="s">
        <v>170</v>
      </c>
    </row>
    <row r="2" spans="1:5" ht="18.75" x14ac:dyDescent="0.3">
      <c r="A2" s="1"/>
    </row>
    <row r="3" spans="1:5" ht="18.75" x14ac:dyDescent="0.3">
      <c r="A3" s="1"/>
      <c r="E3" s="43" t="s">
        <v>173</v>
      </c>
    </row>
    <row r="4" spans="1:5" x14ac:dyDescent="0.25">
      <c r="A4" s="38" t="s">
        <v>168</v>
      </c>
      <c r="B4" s="38" t="s">
        <v>168</v>
      </c>
      <c r="C4" s="38" t="s">
        <v>168</v>
      </c>
      <c r="D4" s="39" t="s">
        <v>169</v>
      </c>
      <c r="E4" s="39" t="s">
        <v>169</v>
      </c>
    </row>
    <row r="6" spans="1:5" ht="30" x14ac:dyDescent="0.25">
      <c r="A6" s="31" t="s">
        <v>136</v>
      </c>
      <c r="B6" s="31" t="s">
        <v>135</v>
      </c>
      <c r="C6" s="31" t="s">
        <v>161</v>
      </c>
      <c r="D6" s="30" t="s">
        <v>176</v>
      </c>
      <c r="E6" s="30" t="s">
        <v>167</v>
      </c>
    </row>
    <row r="7" spans="1:5" x14ac:dyDescent="0.25">
      <c r="A7">
        <v>290</v>
      </c>
      <c r="B7">
        <v>25</v>
      </c>
      <c r="C7">
        <v>210</v>
      </c>
      <c r="D7">
        <f>1.04*C7+25</f>
        <v>243.4</v>
      </c>
      <c r="E7">
        <f>MAX(0,A7-D7-B7)</f>
        <v>21.599999999999994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Notes</vt:lpstr>
      <vt:lpstr>Input</vt:lpstr>
      <vt:lpstr>Factors</vt:lpstr>
      <vt:lpstr>ARO</vt:lpstr>
      <vt:lpstr>Benchmark</vt:lpstr>
      <vt:lpstr>PBRRating</vt:lpstr>
      <vt:lpstr>StartDefault</vt:lpstr>
      <vt:lpstr>ReinvestDefaultSpread</vt:lpstr>
      <vt:lpstr>WithoutNAICDesignation</vt:lpstr>
      <vt:lpstr>AROTable</vt:lpstr>
      <vt:lpstr>BaselineFactor</vt:lpstr>
      <vt:lpstr>CurrentSpreadFactor</vt:lpstr>
      <vt:lpstr>LongtermSpreadFactor</vt:lpstr>
      <vt:lpstr>NAIC_PBR</vt:lpstr>
      <vt:lpstr>SwapSpreadFactor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2016-04-25T21:52:05Z</dcterms:modified>
</cp:coreProperties>
</file>