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cae2ab329deaad/Documents/QFI-QF 2025 Spring Model Solutions/"/>
    </mc:Choice>
  </mc:AlternateContent>
  <xr:revisionPtr revIDLastSave="8" documentId="8_{DB1DFEBF-D209-4705-8AEA-C6DC7619EC20}" xr6:coauthVersionLast="47" xr6:coauthVersionMax="47" xr10:uidLastSave="{2D72A584-CCB5-4BE9-9367-AD6AD47B9A78}"/>
  <bookViews>
    <workbookView xWindow="-98" yWindow="-98" windowWidth="20715" windowHeight="13155" activeTab="3" xr2:uid="{5B99CA1A-AC61-44B4-99BE-016C39E29269}"/>
  </bookViews>
  <sheets>
    <sheet name="Candidate #" sheetId="2" r:id="rId1"/>
    <sheet name="Q5" sheetId="13" r:id="rId2"/>
    <sheet name="BS" sheetId="17" r:id="rId3"/>
    <sheet name="Q7 Solution" sheetId="14" r:id="rId4"/>
    <sheet name="Q9 (b) (c) solution" sheetId="15" r:id="rId5"/>
    <sheet name="Q9 (d) solution" sheetId="16" r:id="rId6"/>
  </sheets>
  <externalReferences>
    <externalReference r:id="rId7"/>
    <externalReference r:id="rId8"/>
    <externalReference r:id="rId9"/>
    <externalReference r:id="rId10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1" localSheetId="2">BS!$C$12</definedName>
    <definedName name="_d1">#REF!</definedName>
    <definedName name="_d2" localSheetId="2">BS!$C$13</definedName>
    <definedName name="_d2">#REF!</definedName>
    <definedName name="_Hlk132465592" localSheetId="4">'Q9 (b) (c) solution'!#REF!</definedName>
    <definedName name="_Hlk132465592" localSheetId="5">'Q9 (d) solution'!#REF!</definedName>
    <definedName name="CurrentStock" localSheetId="1">[1]Q10!$C$95</definedName>
    <definedName name="CurrentStock">#REF!</definedName>
    <definedName name="Div" localSheetId="2">'[4]Main (QW and Grader)'!$B$10</definedName>
    <definedName name="Div">'Q7 Solution'!$B$10</definedName>
    <definedName name="InterestRate" localSheetId="1">[1]Q10!$C$96</definedName>
    <definedName name="InterestRat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_d1" localSheetId="2">BS!$C$15</definedName>
    <definedName name="N_d1">#REF!</definedName>
    <definedName name="N_d2" localSheetId="2">BS!$C$16</definedName>
    <definedName name="N_d2">#REF!</definedName>
    <definedName name="N_minusd1" localSheetId="2">BS!$C$17</definedName>
    <definedName name="N_minusd1">#REF!</definedName>
    <definedName name="N_minusd2" localSheetId="2">BS!$C$18</definedName>
    <definedName name="N_minusd2">#REF!</definedName>
    <definedName name="rate" localSheetId="1">'[2]Question (a)'!$C$3</definedName>
    <definedName name="rate">'[3]Question (a)'!$C$3</definedName>
    <definedName name="Rf" localSheetId="2">'[4]Main (QW and Grader)'!$B$8</definedName>
    <definedName name="Rf">'Q7 Solution'!$B$8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igma" localSheetId="2">'[4]Main (QW and Grader)'!$B$9</definedName>
    <definedName name="Sigma">'Q7 Solution'!$B$9</definedName>
    <definedName name="Strike" localSheetId="1">'[2]Question (a)'!$C$1</definedName>
    <definedName name="Strike">'[3]Question (a)'!$C$1</definedName>
    <definedName name="StrikeRatio" localSheetId="2">BS!$C$3</definedName>
    <definedName name="StrikeRatio">#REF!</definedName>
    <definedName name="T" localSheetId="2">BS!$C$4</definedName>
    <definedName name="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4" l="1"/>
  <c r="C12" i="17"/>
  <c r="C30" i="17" s="1"/>
  <c r="C10" i="17"/>
  <c r="C9" i="17"/>
  <c r="C8" i="17"/>
  <c r="C32" i="17" l="1"/>
  <c r="C31" i="17"/>
  <c r="C13" i="17"/>
  <c r="C15" i="17"/>
  <c r="C17" i="17"/>
  <c r="C27" i="17" s="1"/>
  <c r="C28" i="17" l="1"/>
  <c r="C16" i="17"/>
  <c r="C22" i="17" s="1"/>
  <c r="C25" i="17" s="1"/>
  <c r="C18" i="17"/>
  <c r="C21" i="17" s="1"/>
  <c r="C24" i="17" s="1"/>
  <c r="C27" i="16" l="1"/>
  <c r="C41" i="16"/>
  <c r="J41" i="16"/>
  <c r="D42" i="16"/>
  <c r="G42" i="16"/>
  <c r="J43" i="16" s="1"/>
  <c r="C43" i="16"/>
  <c r="D41" i="16" s="1"/>
  <c r="C47" i="16"/>
  <c r="E53" i="16"/>
  <c r="L53" i="16" s="1"/>
  <c r="K53" i="16"/>
  <c r="D54" i="16"/>
  <c r="F54" i="16" s="1"/>
  <c r="G54" i="15"/>
  <c r="G55" i="15"/>
  <c r="G57" i="15" s="1"/>
  <c r="D36" i="15" s="1"/>
  <c r="G63" i="15"/>
  <c r="G64" i="15"/>
  <c r="G66" i="15"/>
  <c r="D38" i="15" s="1"/>
  <c r="D74" i="15"/>
  <c r="G90" i="15"/>
  <c r="G91" i="15"/>
  <c r="G93" i="15"/>
  <c r="C181" i="15"/>
  <c r="G181" i="15" s="1"/>
  <c r="G182" i="15"/>
  <c r="C183" i="15"/>
  <c r="D55" i="16" l="1"/>
  <c r="E55" i="16" s="1"/>
  <c r="E54" i="16"/>
  <c r="G54" i="16" s="1"/>
  <c r="K54" i="16"/>
  <c r="L54" i="16" s="1"/>
  <c r="G43" i="16"/>
  <c r="J45" i="16" s="1"/>
  <c r="G47" i="16" s="1"/>
  <c r="G41" i="16"/>
  <c r="F53" i="16"/>
  <c r="G183" i="15"/>
  <c r="G186" i="15" s="1"/>
  <c r="C159" i="15" s="1"/>
  <c r="G46" i="16" l="1"/>
  <c r="F55" i="16"/>
  <c r="G55" i="16" s="1"/>
  <c r="K55" i="16"/>
  <c r="L55" i="16" s="1"/>
  <c r="D56" i="16"/>
  <c r="G53" i="16"/>
  <c r="M53" i="16"/>
  <c r="E56" i="16"/>
  <c r="F56" i="16"/>
  <c r="K56" i="16"/>
  <c r="D57" i="16"/>
  <c r="M54" i="16"/>
  <c r="F12" i="14"/>
  <c r="G12" i="14"/>
  <c r="I12" i="14"/>
  <c r="J12" i="14"/>
  <c r="K12" i="14"/>
  <c r="L12" i="14"/>
  <c r="M12" i="14"/>
  <c r="N12" i="14"/>
  <c r="O12" i="14"/>
  <c r="P12" i="14"/>
  <c r="C14" i="14"/>
  <c r="E14" i="14"/>
  <c r="H14" i="14"/>
  <c r="H11" i="14" s="1"/>
  <c r="H10" i="14" s="1"/>
  <c r="C15" i="14"/>
  <c r="E15" i="14"/>
  <c r="H15" i="14"/>
  <c r="C16" i="14"/>
  <c r="H16" i="14"/>
  <c r="C17" i="14"/>
  <c r="H17" i="14"/>
  <c r="C18" i="14"/>
  <c r="E18" i="14"/>
  <c r="H18" i="14"/>
  <c r="C19" i="14"/>
  <c r="E19" i="14"/>
  <c r="H19" i="14"/>
  <c r="C20" i="14"/>
  <c r="E20" i="14"/>
  <c r="H20" i="14"/>
  <c r="G29" i="14"/>
  <c r="G30" i="14" s="1"/>
  <c r="G32" i="14" s="1"/>
  <c r="G51" i="14"/>
  <c r="G64" i="14"/>
  <c r="M55" i="16" l="1"/>
  <c r="L56" i="16"/>
  <c r="E57" i="16"/>
  <c r="F57" i="16"/>
  <c r="K57" i="16"/>
  <c r="D58" i="16"/>
  <c r="M56" i="16"/>
  <c r="G56" i="16"/>
  <c r="F15" i="14"/>
  <c r="E58" i="14"/>
  <c r="F14" i="14"/>
  <c r="E16" i="14"/>
  <c r="E57" i="14"/>
  <c r="F18" i="14"/>
  <c r="E17" i="14"/>
  <c r="F19" i="14"/>
  <c r="F20" i="14"/>
  <c r="B66" i="13"/>
  <c r="B65" i="13"/>
  <c r="B64" i="13"/>
  <c r="B63" i="13"/>
  <c r="B62" i="13"/>
  <c r="C62" i="13" s="1"/>
  <c r="E62" i="13" s="1"/>
  <c r="B61" i="13"/>
  <c r="B60" i="13"/>
  <c r="B59" i="13"/>
  <c r="C59" i="13" s="1"/>
  <c r="D59" i="13" s="1"/>
  <c r="B58" i="13"/>
  <c r="B57" i="13"/>
  <c r="B56" i="13"/>
  <c r="B55" i="13"/>
  <c r="B54" i="13"/>
  <c r="C54" i="13" s="1"/>
  <c r="E54" i="13" s="1"/>
  <c r="B53" i="13"/>
  <c r="B52" i="13"/>
  <c r="B51" i="13"/>
  <c r="C51" i="13" s="1"/>
  <c r="D51" i="13" s="1"/>
  <c r="B50" i="13"/>
  <c r="B49" i="13"/>
  <c r="B48" i="13"/>
  <c r="C48" i="13" s="1"/>
  <c r="E48" i="13" s="1"/>
  <c r="C66" i="13"/>
  <c r="E66" i="13" s="1"/>
  <c r="C65" i="13"/>
  <c r="E65" i="13" s="1"/>
  <c r="C64" i="13"/>
  <c r="E64" i="13" s="1"/>
  <c r="C63" i="13"/>
  <c r="E63" i="13" s="1"/>
  <c r="C61" i="13"/>
  <c r="E61" i="13" s="1"/>
  <c r="C60" i="13"/>
  <c r="E60" i="13" s="1"/>
  <c r="C58" i="13"/>
  <c r="E58" i="13" s="1"/>
  <c r="C57" i="13"/>
  <c r="E57" i="13" s="1"/>
  <c r="C56" i="13"/>
  <c r="E56" i="13" s="1"/>
  <c r="C55" i="13"/>
  <c r="D55" i="13" s="1"/>
  <c r="C53" i="13"/>
  <c r="E53" i="13" s="1"/>
  <c r="C52" i="13"/>
  <c r="E52" i="13" s="1"/>
  <c r="C50" i="13"/>
  <c r="E50" i="13" s="1"/>
  <c r="C49" i="13"/>
  <c r="E49" i="13" s="1"/>
  <c r="B47" i="13"/>
  <c r="B44" i="13"/>
  <c r="A48" i="13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G57" i="16" l="1"/>
  <c r="M57" i="16"/>
  <c r="E58" i="16"/>
  <c r="F58" i="16"/>
  <c r="K58" i="16"/>
  <c r="D59" i="16"/>
  <c r="L57" i="16"/>
  <c r="I15" i="14"/>
  <c r="K15" i="14"/>
  <c r="P15" i="14" s="1"/>
  <c r="G15" i="14"/>
  <c r="G20" i="14"/>
  <c r="I20" i="14"/>
  <c r="K20" i="14"/>
  <c r="P20" i="14" s="1"/>
  <c r="G19" i="14"/>
  <c r="I19" i="14"/>
  <c r="K19" i="14"/>
  <c r="P19" i="14" s="1"/>
  <c r="F17" i="14"/>
  <c r="G18" i="14"/>
  <c r="K18" i="14"/>
  <c r="P18" i="14" s="1"/>
  <c r="I18" i="14"/>
  <c r="F16" i="14"/>
  <c r="I14" i="14"/>
  <c r="F11" i="14"/>
  <c r="F10" i="14" s="1"/>
  <c r="K14" i="14"/>
  <c r="G14" i="14"/>
  <c r="F53" i="13"/>
  <c r="F50" i="13"/>
  <c r="F58" i="13"/>
  <c r="F66" i="13"/>
  <c r="D49" i="13"/>
  <c r="F49" i="13" s="1"/>
  <c r="D53" i="13"/>
  <c r="D57" i="13"/>
  <c r="F57" i="13" s="1"/>
  <c r="D61" i="13"/>
  <c r="F61" i="13" s="1"/>
  <c r="D65" i="13"/>
  <c r="F65" i="13" s="1"/>
  <c r="E51" i="13"/>
  <c r="F51" i="13" s="1"/>
  <c r="E55" i="13"/>
  <c r="F55" i="13" s="1"/>
  <c r="E59" i="13"/>
  <c r="F59" i="13" s="1"/>
  <c r="D48" i="13"/>
  <c r="F48" i="13" s="1"/>
  <c r="D50" i="13"/>
  <c r="D52" i="13"/>
  <c r="F52" i="13" s="1"/>
  <c r="D54" i="13"/>
  <c r="F54" i="13" s="1"/>
  <c r="D56" i="13"/>
  <c r="F56" i="13" s="1"/>
  <c r="D58" i="13"/>
  <c r="D60" i="13"/>
  <c r="F60" i="13" s="1"/>
  <c r="D62" i="13"/>
  <c r="F62" i="13" s="1"/>
  <c r="D64" i="13"/>
  <c r="F64" i="13" s="1"/>
  <c r="D66" i="13"/>
  <c r="D63" i="13"/>
  <c r="F63" i="13" s="1"/>
  <c r="C47" i="13"/>
  <c r="E47" i="13" s="1"/>
  <c r="G58" i="16" l="1"/>
  <c r="M58" i="16"/>
  <c r="E59" i="16"/>
  <c r="F59" i="16"/>
  <c r="L58" i="16"/>
  <c r="I16" i="14"/>
  <c r="K16" i="14"/>
  <c r="P16" i="14" s="1"/>
  <c r="F49" i="14" s="1"/>
  <c r="G16" i="14"/>
  <c r="L18" i="14"/>
  <c r="N18" i="14" s="1"/>
  <c r="J18" i="14"/>
  <c r="M18" i="14"/>
  <c r="G56" i="14" s="1"/>
  <c r="O18" i="14"/>
  <c r="K17" i="14"/>
  <c r="P17" i="14" s="1"/>
  <c r="G17" i="14"/>
  <c r="I17" i="14"/>
  <c r="G11" i="14"/>
  <c r="G10" i="14" s="1"/>
  <c r="J14" i="14"/>
  <c r="J11" i="14" s="1"/>
  <c r="J10" i="14" s="1"/>
  <c r="L14" i="14"/>
  <c r="O19" i="14"/>
  <c r="J19" i="14"/>
  <c r="M19" i="14" s="1"/>
  <c r="G57" i="14" s="1"/>
  <c r="L19" i="14"/>
  <c r="N19" i="14" s="1"/>
  <c r="K11" i="14"/>
  <c r="K10" i="14" s="1"/>
  <c r="P14" i="14"/>
  <c r="P11" i="14" s="1"/>
  <c r="P10" i="14" s="1"/>
  <c r="O20" i="14"/>
  <c r="J20" i="14"/>
  <c r="M20" i="14" s="1"/>
  <c r="L20" i="14"/>
  <c r="N20" i="14" s="1"/>
  <c r="G58" i="14" s="1"/>
  <c r="I11" i="14"/>
  <c r="I10" i="14" s="1"/>
  <c r="O14" i="14"/>
  <c r="J15" i="14"/>
  <c r="M15" i="14" s="1"/>
  <c r="L15" i="14"/>
  <c r="N15" i="14" s="1"/>
  <c r="O15" i="14"/>
  <c r="H26" i="14" s="1"/>
  <c r="D47" i="13"/>
  <c r="F47" i="13" s="1"/>
  <c r="G59" i="16" l="1"/>
  <c r="M14" i="14"/>
  <c r="M11" i="14" s="1"/>
  <c r="M10" i="14" s="1"/>
  <c r="G41" i="14"/>
  <c r="G26" i="14"/>
  <c r="H25" i="14"/>
  <c r="H27" i="14" s="1"/>
  <c r="O11" i="14"/>
  <c r="O10" i="14" s="1"/>
  <c r="J17" i="14"/>
  <c r="M17" i="14" s="1"/>
  <c r="L17" i="14"/>
  <c r="N17" i="14" s="1"/>
  <c r="G59" i="14"/>
  <c r="J16" i="14"/>
  <c r="M16" i="14" s="1"/>
  <c r="L16" i="14"/>
  <c r="N16" i="14" s="1"/>
  <c r="L11" i="14"/>
  <c r="L10" i="14" s="1"/>
  <c r="N14" i="14"/>
  <c r="O17" i="14"/>
  <c r="F50" i="14" s="1"/>
  <c r="F51" i="14" s="1"/>
  <c r="O16" i="14"/>
  <c r="B68" i="13"/>
  <c r="G25" i="14" l="1"/>
  <c r="G27" i="14" s="1"/>
  <c r="G33" i="14" s="1"/>
  <c r="N11" i="14"/>
  <c r="N10" i="14" s="1"/>
  <c r="G40" i="14"/>
  <c r="G42" i="14" s="1"/>
  <c r="G44" i="14" s="1"/>
</calcChain>
</file>

<file path=xl/sharedStrings.xml><?xml version="1.0" encoding="utf-8"?>
<sst xmlns="http://schemas.openxmlformats.org/spreadsheetml/2006/main" count="222" uniqueCount="140">
  <si>
    <t>T</t>
  </si>
  <si>
    <t>Candidate No.</t>
  </si>
  <si>
    <t>Q5</t>
  </si>
  <si>
    <t>Parameter</t>
  </si>
  <si>
    <t>Value</t>
  </si>
  <si>
    <t>gamma*</t>
  </si>
  <si>
    <t>alpha</t>
  </si>
  <si>
    <t>rbar*</t>
  </si>
  <si>
    <r>
      <t>r</t>
    </r>
    <r>
      <rPr>
        <vertAlign val="subscript"/>
        <sz val="12"/>
        <color theme="1"/>
        <rFont val="Aptos Narrow (Body)"/>
      </rPr>
      <t>0</t>
    </r>
  </si>
  <si>
    <t>B(0;T)</t>
  </si>
  <si>
    <t>A(0;T)</t>
  </si>
  <si>
    <t>Z(0;T)</t>
  </si>
  <si>
    <t>5% Coupon bond price</t>
  </si>
  <si>
    <t>Then copy down the formula</t>
  </si>
  <si>
    <t>Enter values in B40:B43</t>
  </si>
  <si>
    <t>Enter the formula in B44</t>
  </si>
  <si>
    <t>Enter formulas in B47:D47 and F47; formula in E47 is already entered</t>
  </si>
  <si>
    <t>Fill in your final answers (and show your work) here, for part d):</t>
  </si>
  <si>
    <t>The bond price formula in B68 is prepopulated.</t>
  </si>
  <si>
    <t>The budget is sufficient to cover the cost to purchase the options</t>
    <phoneticPr fontId="0" type="noConversion"/>
  </si>
  <si>
    <t>Option Budget =</t>
    <phoneticPr fontId="0" type="noConversion"/>
  </si>
  <si>
    <t>Present value of bond =</t>
    <phoneticPr fontId="0" type="noConversion"/>
  </si>
  <si>
    <t>as the minimum guarantee is principle protection</t>
    <phoneticPr fontId="0" type="noConversion"/>
  </si>
  <si>
    <t>Bond Face amount =</t>
    <phoneticPr fontId="0" type="noConversion"/>
  </si>
  <si>
    <t xml:space="preserve">Total option cost = </t>
    <phoneticPr fontId="0" type="noConversion"/>
  </si>
  <si>
    <t>Short</t>
    <phoneticPr fontId="0" type="noConversion"/>
  </si>
  <si>
    <t>Put</t>
    <phoneticPr fontId="0" type="noConversion"/>
  </si>
  <si>
    <t>Call</t>
    <phoneticPr fontId="0" type="noConversion"/>
  </si>
  <si>
    <t>Long</t>
    <phoneticPr fontId="0" type="noConversion"/>
  </si>
  <si>
    <t>Option value (long position)</t>
    <phoneticPr fontId="0" type="noConversion"/>
  </si>
  <si>
    <t>Unit</t>
    <phoneticPr fontId="0" type="noConversion"/>
  </si>
  <si>
    <t>Strike price</t>
    <phoneticPr fontId="0" type="noConversion"/>
  </si>
  <si>
    <t>Position (long/short)</t>
    <phoneticPr fontId="0" type="noConversion"/>
  </si>
  <si>
    <t>Type of Option</t>
    <phoneticPr fontId="0" type="noConversion"/>
  </si>
  <si>
    <t>(c) Buffer option</t>
    <phoneticPr fontId="0" type="noConversion"/>
  </si>
  <si>
    <t>Total Delta =</t>
    <phoneticPr fontId="0" type="noConversion"/>
  </si>
  <si>
    <t>Index</t>
    <phoneticPr fontId="0" type="noConversion"/>
  </si>
  <si>
    <t>Delta (long position)</t>
    <phoneticPr fontId="0" type="noConversion"/>
  </si>
  <si>
    <t>The net delta of the portfolio</t>
  </si>
  <si>
    <t>invested in risk-free rate</t>
    <phoneticPr fontId="0" type="noConversion"/>
  </si>
  <si>
    <t>Total Cash position =</t>
    <phoneticPr fontId="0" type="noConversion"/>
  </si>
  <si>
    <t>Total option cost =</t>
    <phoneticPr fontId="0" type="noConversion"/>
  </si>
  <si>
    <t>purchase 1 share of underlying</t>
    <phoneticPr fontId="0" type="noConversion"/>
  </si>
  <si>
    <t>t = 0</t>
    <phoneticPr fontId="0" type="noConversion"/>
  </si>
  <si>
    <t xml:space="preserve">(b) delta hedge: </t>
    <phoneticPr fontId="0" type="noConversion"/>
  </si>
  <si>
    <t>Cash position =</t>
    <phoneticPr fontId="0" type="noConversion"/>
  </si>
  <si>
    <t>(a) Back to back: trade the exact options embedded in the product</t>
    <phoneticPr fontId="0" type="noConversion"/>
  </si>
  <si>
    <t>(c)</t>
    <phoneticPr fontId="0" type="noConversion"/>
  </si>
  <si>
    <t>(b)</t>
    <phoneticPr fontId="0" type="noConversion"/>
  </si>
  <si>
    <t>(a)</t>
    <phoneticPr fontId="0" type="noConversion"/>
  </si>
  <si>
    <t>Delta Put</t>
    <phoneticPr fontId="0" type="noConversion"/>
  </si>
  <si>
    <t>Delta Call</t>
    <phoneticPr fontId="0" type="noConversion"/>
  </si>
  <si>
    <t>P (unit underlying)</t>
    <phoneticPr fontId="0" type="noConversion"/>
  </si>
  <si>
    <t>C (unit underlying)</t>
    <phoneticPr fontId="0" type="noConversion"/>
  </si>
  <si>
    <t>N(-d2)</t>
  </si>
  <si>
    <t>N(-d1)</t>
  </si>
  <si>
    <t>N(d2)</t>
  </si>
  <si>
    <t>N(d1)</t>
  </si>
  <si>
    <t>Sigma</t>
    <phoneticPr fontId="0" type="noConversion"/>
  </si>
  <si>
    <t>d2</t>
    <phoneticPr fontId="0" type="noConversion"/>
  </si>
  <si>
    <t>d1</t>
    <phoneticPr fontId="0" type="noConversion"/>
  </si>
  <si>
    <t>k (strike ratio)</t>
    <phoneticPr fontId="0" type="noConversion"/>
  </si>
  <si>
    <t>S(t)</t>
    <phoneticPr fontId="0" type="noConversion"/>
  </si>
  <si>
    <t>(T - t)</t>
    <phoneticPr fontId="0" type="noConversion"/>
  </si>
  <si>
    <t>t</t>
    <phoneticPr fontId="0" type="noConversion"/>
  </si>
  <si>
    <t>Part</t>
    <phoneticPr fontId="0" type="noConversion"/>
  </si>
  <si>
    <t>From the BS calculator --&gt;</t>
    <phoneticPr fontId="0" type="noConversion"/>
  </si>
  <si>
    <t>Black-Scholes calculation</t>
    <phoneticPr fontId="0" type="noConversion"/>
  </si>
  <si>
    <t>Choose the line to validate --&gt;</t>
    <phoneticPr fontId="0" type="noConversion"/>
  </si>
  <si>
    <t>Dividend</t>
  </si>
  <si>
    <t>Vol</t>
  </si>
  <si>
    <t>Risk-free rate</t>
  </si>
  <si>
    <t>Market</t>
    <phoneticPr fontId="0" type="noConversion"/>
  </si>
  <si>
    <t>N/A</t>
    <phoneticPr fontId="0" type="noConversion"/>
  </si>
  <si>
    <t>Buffer</t>
    <phoneticPr fontId="0" type="noConversion"/>
  </si>
  <si>
    <t>cap</t>
    <phoneticPr fontId="0" type="noConversion"/>
  </si>
  <si>
    <t>Minimum guarantee</t>
    <phoneticPr fontId="0" type="noConversion"/>
  </si>
  <si>
    <t>Product term to maturity (yr)</t>
    <phoneticPr fontId="0" type="noConversion"/>
  </si>
  <si>
    <t>Single Premium</t>
    <phoneticPr fontId="0" type="noConversion"/>
  </si>
  <si>
    <t>Buffer design (part c)</t>
    <phoneticPr fontId="0" type="noConversion"/>
  </si>
  <si>
    <t>Cap design (part a,b)</t>
    <phoneticPr fontId="0" type="noConversion"/>
  </si>
  <si>
    <t>Product</t>
    <phoneticPr fontId="0" type="noConversion"/>
  </si>
  <si>
    <t>Double Barrier Option Price</t>
  </si>
  <si>
    <t>Participation rate 2 (    )</t>
  </si>
  <si>
    <t>Participation rate 1 (    )</t>
  </si>
  <si>
    <t>Barrier 2 (B2)</t>
  </si>
  <si>
    <t>Barrier 1 (B1)</t>
  </si>
  <si>
    <t>Double Barrier Option Formula 1</t>
  </si>
  <si>
    <t xml:space="preserve"> </t>
  </si>
  <si>
    <t>Minimum guarantee rate (g) %</t>
  </si>
  <si>
    <t>Risk-Free Rate (r)</t>
  </si>
  <si>
    <t>Term (T)</t>
  </si>
  <si>
    <t>Implied Volatility (σ)</t>
  </si>
  <si>
    <t>Dividend Yield (q)</t>
  </si>
  <si>
    <t>Calculated Results</t>
  </si>
  <si>
    <r>
      <t>Underlying Asset – Current Price (S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)</t>
    </r>
  </si>
  <si>
    <t>Input</t>
  </si>
  <si>
    <t>EIA</t>
  </si>
  <si>
    <t>Show your work here:</t>
  </si>
  <si>
    <t>when participation rate 2 is 80.26%</t>
  </si>
  <si>
    <t>Double Threshold Design Price</t>
  </si>
  <si>
    <t>Fill in your final answers here for part (c):</t>
  </si>
  <si>
    <t>PtP Option Price</t>
  </si>
  <si>
    <t>Participation rate (     )</t>
  </si>
  <si>
    <t>Point-to-Point Option Formula 3</t>
  </si>
  <si>
    <t>Participation rate (alpha)</t>
  </si>
  <si>
    <t>Fill in your final answers here for part (b) (ii):</t>
  </si>
  <si>
    <t>Point-to-Point Option Formula 2</t>
  </si>
  <si>
    <t>Point-to-Point Option Formula 1</t>
  </si>
  <si>
    <t>PtP(T) at participation rate=120%</t>
  </si>
  <si>
    <t>PtP(T) at participation rate=60%</t>
  </si>
  <si>
    <t>Fill in your final answers here for part (b) (i):</t>
  </si>
  <si>
    <t>Q9</t>
  </si>
  <si>
    <t>Barrier</t>
  </si>
  <si>
    <t>PtP</t>
  </si>
  <si>
    <t>Difference</t>
  </si>
  <si>
    <t>Annualized Returns</t>
  </si>
  <si>
    <t>Total partial derivatives</t>
  </si>
  <si>
    <t>min guarantee</t>
  </si>
  <si>
    <t>EIA (Double Barrier Option)</t>
  </si>
  <si>
    <t>both prices are equal to $94.97, as demonstrated below</t>
  </si>
  <si>
    <t>Fill in your final answers here for part (d)(i):</t>
  </si>
  <si>
    <t>Black-Scholes calculator:</t>
  </si>
  <si>
    <t>Option Feature</t>
  </si>
  <si>
    <t>Strike ratio</t>
  </si>
  <si>
    <t>Product term to maturity (yr)</t>
    <phoneticPr fontId="3" type="noConversion"/>
  </si>
  <si>
    <t>Market data (annual continuous)</t>
  </si>
  <si>
    <t>Current underlying</t>
  </si>
  <si>
    <t>d1</t>
  </si>
  <si>
    <t>d2</t>
  </si>
  <si>
    <t>Results</t>
  </si>
  <si>
    <r>
      <t>MV[</t>
    </r>
    <r>
      <rPr>
        <b/>
        <sz val="11"/>
        <color rgb="FFFF0066"/>
        <rFont val="Arial"/>
        <family val="2"/>
      </rPr>
      <t>Put</t>
    </r>
    <r>
      <rPr>
        <b/>
        <sz val="11"/>
        <color theme="1"/>
        <rFont val="Arial"/>
        <family val="2"/>
      </rPr>
      <t>] For $1 S0</t>
    </r>
  </si>
  <si>
    <r>
      <t>MV[</t>
    </r>
    <r>
      <rPr>
        <b/>
        <sz val="11"/>
        <color rgb="FF00B0F0"/>
        <rFont val="Arial"/>
        <family val="2"/>
      </rPr>
      <t>Call</t>
    </r>
    <r>
      <rPr>
        <b/>
        <sz val="11"/>
        <color theme="1"/>
        <rFont val="Arial"/>
        <family val="2"/>
      </rPr>
      <t>] For $1 S0</t>
    </r>
  </si>
  <si>
    <t>Put</t>
  </si>
  <si>
    <t>Call</t>
  </si>
  <si>
    <r>
      <t>Delta[</t>
    </r>
    <r>
      <rPr>
        <b/>
        <sz val="11"/>
        <color rgb="FFFF0066"/>
        <rFont val="Arial"/>
        <family val="2"/>
      </rPr>
      <t>Put</t>
    </r>
    <r>
      <rPr>
        <b/>
        <sz val="11"/>
        <color theme="1"/>
        <rFont val="Arial"/>
        <family val="2"/>
      </rPr>
      <t>]</t>
    </r>
  </si>
  <si>
    <r>
      <t>Delta[</t>
    </r>
    <r>
      <rPr>
        <b/>
        <sz val="11"/>
        <color rgb="FF00B0F0"/>
        <rFont val="Arial"/>
        <family val="2"/>
      </rPr>
      <t>Call</t>
    </r>
    <r>
      <rPr>
        <b/>
        <sz val="11"/>
        <color theme="1"/>
        <rFont val="Arial"/>
        <family val="2"/>
      </rPr>
      <t>]</t>
    </r>
  </si>
  <si>
    <t>N'(d1)</t>
  </si>
  <si>
    <t>Gamma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</si>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</sst>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(* #,##0.0000_);_(* \(#,##0.0000\);_(* &quot;-&quot;??_);_(@_)"/>
    <numFmt numFmtId="167" formatCode="0.0000"/>
    <numFmt numFmtId="168" formatCode="0.0000_);[Red]\(0.0000\)"/>
    <numFmt numFmtId="169" formatCode="_(* #,##0.000000000_);_(* \(#,##0.000000000\);_(* &quot;-&quot;??_);_(@_)"/>
    <numFmt numFmtId="170" formatCode="_(* #,##0.0_);_(* \(#,##0.0\);_(* &quot;-&quot;??_);_(@_)"/>
    <numFmt numFmtId="171" formatCode="#,##0.0000_ "/>
    <numFmt numFmtId="172" formatCode="0.00000000"/>
    <numFmt numFmtId="173" formatCode="_(* #,##0.00000_);_(* \(#,##0.00000\);_(* &quot;-&quot;??_);_(@_)"/>
    <numFmt numFmtId="174" formatCode="_-* #,##0.000000_-;\-* #,##0.000000_-;_-* &quot;-&quot;??_-;_-@_-"/>
    <numFmt numFmtId="175" formatCode="0.0%"/>
    <numFmt numFmtId="176" formatCode="_-* #,##0.0000_-;\-* #,##0.0000_-;_-* &quot;-&quot;??_-;_-@_-"/>
    <numFmt numFmtId="177" formatCode="_-* #,##0.00000_-;\-* #,##0.00000_-;_-* &quot;-&quot;??_-;_-@_-"/>
    <numFmt numFmtId="178" formatCode="_(* #,##0_);_(* \(#,##0\);_(* &quot;-&quot;??_);_(@_)"/>
    <numFmt numFmtId="179" formatCode="0.0000000"/>
    <numFmt numFmtId="180" formatCode="_-* #,##0.000_-;\-* #,##0.000_-;_-* &quot;-&quot;??_-;_-@_-"/>
    <numFmt numFmtId="181" formatCode="0.000000000000000%"/>
    <numFmt numFmtId="182" formatCode="0.000000"/>
    <numFmt numFmtId="183" formatCode="0.00000"/>
    <numFmt numFmtId="184" formatCode="0.000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vertAlign val="subscript"/>
      <sz val="12"/>
      <color theme="1"/>
      <name val="Aptos Narrow (Body)"/>
    </font>
    <font>
      <b/>
      <sz val="14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B050"/>
      <name val="Arial"/>
      <family val="2"/>
    </font>
    <font>
      <sz val="10"/>
      <color theme="2"/>
      <name val="Arial"/>
      <family val="2"/>
    </font>
    <font>
      <i/>
      <sz val="10"/>
      <color theme="2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8" fillId="0" borderId="0" xfId="1" applyFont="1"/>
    <xf numFmtId="0" fontId="6" fillId="0" borderId="0" xfId="1"/>
    <xf numFmtId="0" fontId="6" fillId="2" borderId="0" xfId="1" applyFill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15" applyFont="1"/>
    <xf numFmtId="0" fontId="13" fillId="0" borderId="0" xfId="15" applyFont="1"/>
    <xf numFmtId="43" fontId="12" fillId="0" borderId="0" xfId="16" applyFont="1" applyAlignment="1"/>
    <xf numFmtId="0" fontId="14" fillId="0" borderId="0" xfId="15" applyFont="1" applyAlignment="1">
      <alignment horizontal="right"/>
    </xf>
    <xf numFmtId="0" fontId="14" fillId="0" borderId="0" xfId="15" applyFont="1"/>
    <xf numFmtId="0" fontId="15" fillId="0" borderId="0" xfId="15" applyFont="1"/>
    <xf numFmtId="166" fontId="12" fillId="0" borderId="0" xfId="15" applyNumberFormat="1" applyFont="1"/>
    <xf numFmtId="0" fontId="12" fillId="0" borderId="0" xfId="15" applyFont="1" applyAlignment="1">
      <alignment horizontal="right"/>
    </xf>
    <xf numFmtId="43" fontId="12" fillId="0" borderId="0" xfId="15" applyNumberFormat="1" applyFont="1"/>
    <xf numFmtId="166" fontId="14" fillId="0" borderId="0" xfId="15" applyNumberFormat="1" applyFont="1" applyAlignment="1">
      <alignment horizontal="right"/>
    </xf>
    <xf numFmtId="167" fontId="16" fillId="4" borderId="0" xfId="15" applyNumberFormat="1" applyFont="1" applyFill="1"/>
    <xf numFmtId="0" fontId="16" fillId="4" borderId="0" xfId="15" applyFont="1" applyFill="1"/>
    <xf numFmtId="0" fontId="12" fillId="0" borderId="0" xfId="15" quotePrefix="1" applyFont="1"/>
    <xf numFmtId="168" fontId="12" fillId="0" borderId="0" xfId="15" applyNumberFormat="1" applyFont="1" applyAlignment="1">
      <alignment horizontal="left"/>
    </xf>
    <xf numFmtId="0" fontId="15" fillId="0" borderId="0" xfId="15" applyFont="1" applyAlignment="1">
      <alignment horizontal="right"/>
    </xf>
    <xf numFmtId="169" fontId="12" fillId="0" borderId="0" xfId="15" applyNumberFormat="1" applyFont="1"/>
    <xf numFmtId="170" fontId="12" fillId="0" borderId="0" xfId="15" applyNumberFormat="1" applyFont="1"/>
    <xf numFmtId="171" fontId="12" fillId="0" borderId="0" xfId="15" applyNumberFormat="1" applyFont="1"/>
    <xf numFmtId="171" fontId="12" fillId="0" borderId="3" xfId="16" applyNumberFormat="1" applyFont="1" applyBorder="1" applyAlignment="1"/>
    <xf numFmtId="166" fontId="12" fillId="0" borderId="4" xfId="16" applyNumberFormat="1" applyFont="1" applyBorder="1" applyAlignment="1"/>
    <xf numFmtId="166" fontId="12" fillId="0" borderId="5" xfId="16" applyNumberFormat="1" applyFont="1" applyBorder="1" applyAlignment="1"/>
    <xf numFmtId="166" fontId="13" fillId="0" borderId="4" xfId="16" applyNumberFormat="1" applyFont="1" applyBorder="1" applyAlignment="1"/>
    <xf numFmtId="166" fontId="12" fillId="0" borderId="3" xfId="16" applyNumberFormat="1" applyFont="1" applyFill="1" applyBorder="1" applyAlignment="1"/>
    <xf numFmtId="0" fontId="12" fillId="0" borderId="4" xfId="15" applyFont="1" applyBorder="1"/>
    <xf numFmtId="171" fontId="12" fillId="0" borderId="7" xfId="16" applyNumberFormat="1" applyFont="1" applyBorder="1" applyAlignment="1"/>
    <xf numFmtId="166" fontId="12" fillId="0" borderId="0" xfId="16" applyNumberFormat="1" applyFont="1" applyBorder="1" applyAlignment="1"/>
    <xf numFmtId="166" fontId="12" fillId="0" borderId="8" xfId="16" applyNumberFormat="1" applyFont="1" applyBorder="1" applyAlignment="1"/>
    <xf numFmtId="166" fontId="13" fillId="0" borderId="0" xfId="16" applyNumberFormat="1" applyFont="1" applyBorder="1" applyAlignment="1"/>
    <xf numFmtId="166" fontId="12" fillId="0" borderId="7" xfId="16" applyNumberFormat="1" applyFont="1" applyFill="1" applyBorder="1" applyAlignment="1"/>
    <xf numFmtId="171" fontId="12" fillId="0" borderId="10" xfId="16" applyNumberFormat="1" applyFont="1" applyBorder="1" applyAlignment="1"/>
    <xf numFmtId="166" fontId="12" fillId="0" borderId="11" xfId="16" applyNumberFormat="1" applyFont="1" applyBorder="1" applyAlignment="1"/>
    <xf numFmtId="166" fontId="12" fillId="0" borderId="12" xfId="16" applyNumberFormat="1" applyFont="1" applyBorder="1" applyAlignment="1"/>
    <xf numFmtId="166" fontId="13" fillId="0" borderId="11" xfId="16" applyNumberFormat="1" applyFont="1" applyBorder="1" applyAlignment="1"/>
    <xf numFmtId="166" fontId="12" fillId="0" borderId="10" xfId="16" applyNumberFormat="1" applyFont="1" applyFill="1" applyBorder="1" applyAlignment="1"/>
    <xf numFmtId="0" fontId="12" fillId="0" borderId="11" xfId="15" applyFont="1" applyBorder="1"/>
    <xf numFmtId="166" fontId="12" fillId="5" borderId="4" xfId="16" applyNumberFormat="1" applyFont="1" applyFill="1" applyBorder="1" applyAlignment="1"/>
    <xf numFmtId="0" fontId="16" fillId="4" borderId="4" xfId="15" applyFont="1" applyFill="1" applyBorder="1"/>
    <xf numFmtId="171" fontId="12" fillId="5" borderId="10" xfId="16" applyNumberFormat="1" applyFont="1" applyFill="1" applyBorder="1" applyAlignment="1"/>
    <xf numFmtId="0" fontId="16" fillId="4" borderId="11" xfId="15" applyFont="1" applyFill="1" applyBorder="1"/>
    <xf numFmtId="0" fontId="12" fillId="0" borderId="0" xfId="15" applyFont="1" applyAlignment="1">
      <alignment wrapText="1"/>
    </xf>
    <xf numFmtId="0" fontId="14" fillId="0" borderId="14" xfId="15" applyFont="1" applyBorder="1" applyAlignment="1">
      <alignment wrapText="1"/>
    </xf>
    <xf numFmtId="0" fontId="14" fillId="0" borderId="1" xfId="15" applyFont="1" applyBorder="1" applyAlignment="1">
      <alignment wrapText="1"/>
    </xf>
    <xf numFmtId="0" fontId="14" fillId="0" borderId="15" xfId="15" applyFont="1" applyBorder="1" applyAlignment="1">
      <alignment wrapText="1"/>
    </xf>
    <xf numFmtId="0" fontId="12" fillId="0" borderId="2" xfId="15" applyFont="1" applyBorder="1" applyAlignment="1">
      <alignment wrapText="1"/>
    </xf>
    <xf numFmtId="166" fontId="17" fillId="0" borderId="0" xfId="16" applyNumberFormat="1" applyFont="1" applyAlignment="1"/>
    <xf numFmtId="0" fontId="18" fillId="0" borderId="0" xfId="15" applyFont="1" applyAlignment="1">
      <alignment horizontal="right"/>
    </xf>
    <xf numFmtId="0" fontId="17" fillId="0" borderId="0" xfId="15" applyFont="1"/>
    <xf numFmtId="0" fontId="12" fillId="0" borderId="0" xfId="15" applyFont="1" applyAlignment="1">
      <alignment vertical="center"/>
    </xf>
    <xf numFmtId="9" fontId="13" fillId="0" borderId="0" xfId="17" applyFont="1" applyFill="1" applyBorder="1" applyAlignment="1">
      <alignment horizontal="center" vertical="center"/>
    </xf>
    <xf numFmtId="0" fontId="14" fillId="0" borderId="0" xfId="15" applyFont="1" applyAlignment="1">
      <alignment horizontal="right" vertical="center"/>
    </xf>
    <xf numFmtId="9" fontId="12" fillId="6" borderId="0" xfId="17" applyFont="1" applyFill="1" applyBorder="1" applyAlignment="1">
      <alignment horizontal="center" vertical="center"/>
    </xf>
    <xf numFmtId="9" fontId="12" fillId="0" borderId="0" xfId="15" applyNumberFormat="1" applyFont="1" applyAlignment="1">
      <alignment vertical="center"/>
    </xf>
    <xf numFmtId="0" fontId="14" fillId="0" borderId="0" xfId="15" applyFont="1" applyAlignment="1">
      <alignment vertical="center"/>
    </xf>
    <xf numFmtId="9" fontId="12" fillId="7" borderId="0" xfId="15" applyNumberFormat="1" applyFont="1" applyFill="1" applyAlignment="1">
      <alignment vertical="center"/>
    </xf>
    <xf numFmtId="0" fontId="12" fillId="2" borderId="0" xfId="15" applyFont="1" applyFill="1" applyAlignment="1">
      <alignment vertical="center"/>
    </xf>
    <xf numFmtId="0" fontId="14" fillId="0" borderId="0" xfId="15" applyFont="1" applyAlignment="1">
      <alignment vertical="center" wrapText="1"/>
    </xf>
    <xf numFmtId="0" fontId="2" fillId="0" borderId="0" xfId="18"/>
    <xf numFmtId="164" fontId="2" fillId="0" borderId="0" xfId="18" applyNumberFormat="1"/>
    <xf numFmtId="172" fontId="2" fillId="0" borderId="0" xfId="18" applyNumberFormat="1"/>
    <xf numFmtId="173" fontId="0" fillId="0" borderId="0" xfId="19" applyNumberFormat="1" applyFont="1"/>
    <xf numFmtId="0" fontId="2" fillId="0" borderId="3" xfId="18" applyBorder="1"/>
    <xf numFmtId="0" fontId="2" fillId="0" borderId="4" xfId="18" applyBorder="1"/>
    <xf numFmtId="0" fontId="2" fillId="0" borderId="5" xfId="18" applyBorder="1"/>
    <xf numFmtId="0" fontId="2" fillId="0" borderId="7" xfId="18" applyBorder="1"/>
    <xf numFmtId="174" fontId="2" fillId="0" borderId="0" xfId="18" applyNumberFormat="1"/>
    <xf numFmtId="2" fontId="0" fillId="8" borderId="0" xfId="20" applyNumberFormat="1" applyFont="1" applyFill="1" applyBorder="1"/>
    <xf numFmtId="0" fontId="2" fillId="0" borderId="8" xfId="18" applyBorder="1"/>
    <xf numFmtId="164" fontId="2" fillId="0" borderId="7" xfId="18" applyNumberFormat="1" applyBorder="1"/>
    <xf numFmtId="10" fontId="0" fillId="0" borderId="0" xfId="20" applyNumberFormat="1" applyFont="1" applyBorder="1"/>
    <xf numFmtId="10" fontId="0" fillId="8" borderId="0" xfId="20" applyNumberFormat="1" applyFont="1" applyFill="1" applyBorder="1"/>
    <xf numFmtId="11" fontId="2" fillId="0" borderId="0" xfId="18" applyNumberFormat="1"/>
    <xf numFmtId="172" fontId="2" fillId="5" borderId="0" xfId="18" applyNumberFormat="1" applyFill="1"/>
    <xf numFmtId="10" fontId="0" fillId="5" borderId="0" xfId="20" applyNumberFormat="1" applyFont="1" applyFill="1" applyBorder="1"/>
    <xf numFmtId="173" fontId="2" fillId="0" borderId="0" xfId="18" applyNumberFormat="1"/>
    <xf numFmtId="175" fontId="0" fillId="8" borderId="0" xfId="20" applyNumberFormat="1" applyFont="1" applyFill="1" applyBorder="1"/>
    <xf numFmtId="175" fontId="0" fillId="5" borderId="0" xfId="20" applyNumberFormat="1" applyFont="1" applyFill="1" applyBorder="1"/>
    <xf numFmtId="0" fontId="2" fillId="0" borderId="10" xfId="18" applyBorder="1"/>
    <xf numFmtId="0" fontId="2" fillId="0" borderId="11" xfId="18" applyBorder="1"/>
    <xf numFmtId="0" fontId="2" fillId="0" borderId="12" xfId="18" applyBorder="1"/>
    <xf numFmtId="176" fontId="2" fillId="0" borderId="0" xfId="18" applyNumberFormat="1"/>
    <xf numFmtId="177" fontId="2" fillId="0" borderId="0" xfId="18" applyNumberFormat="1"/>
    <xf numFmtId="0" fontId="7" fillId="0" borderId="0" xfId="18" applyFont="1"/>
    <xf numFmtId="175" fontId="2" fillId="0" borderId="0" xfId="18" applyNumberFormat="1"/>
    <xf numFmtId="9" fontId="2" fillId="0" borderId="0" xfId="18" applyNumberFormat="1"/>
    <xf numFmtId="0" fontId="2" fillId="0" borderId="0" xfId="18" applyAlignment="1">
      <alignment vertical="center"/>
    </xf>
    <xf numFmtId="9" fontId="2" fillId="0" borderId="16" xfId="18" applyNumberFormat="1" applyBorder="1"/>
    <xf numFmtId="0" fontId="2" fillId="0" borderId="17" xfId="18" applyBorder="1"/>
    <xf numFmtId="9" fontId="0" fillId="8" borderId="18" xfId="20" applyFont="1" applyFill="1" applyBorder="1"/>
    <xf numFmtId="0" fontId="2" fillId="0" borderId="19" xfId="18" applyBorder="1"/>
    <xf numFmtId="178" fontId="0" fillId="0" borderId="18" xfId="19" applyNumberFormat="1" applyFont="1" applyBorder="1"/>
    <xf numFmtId="179" fontId="2" fillId="0" borderId="0" xfId="18" applyNumberFormat="1"/>
    <xf numFmtId="179" fontId="0" fillId="0" borderId="0" xfId="20" applyNumberFormat="1" applyFont="1"/>
    <xf numFmtId="9" fontId="2" fillId="0" borderId="18" xfId="18" applyNumberFormat="1" applyBorder="1"/>
    <xf numFmtId="0" fontId="2" fillId="0" borderId="0" xfId="21"/>
    <xf numFmtId="0" fontId="7" fillId="5" borderId="0" xfId="21" applyFont="1" applyFill="1"/>
    <xf numFmtId="180" fontId="2" fillId="0" borderId="0" xfId="18" applyNumberFormat="1"/>
    <xf numFmtId="0" fontId="2" fillId="0" borderId="20" xfId="18" applyBorder="1"/>
    <xf numFmtId="0" fontId="2" fillId="0" borderId="21" xfId="18" applyBorder="1"/>
    <xf numFmtId="0" fontId="2" fillId="8" borderId="0" xfId="21" applyFill="1"/>
    <xf numFmtId="0" fontId="20" fillId="0" borderId="0" xfId="22" applyFont="1"/>
    <xf numFmtId="0" fontId="0" fillId="2" borderId="0" xfId="0" applyFill="1"/>
    <xf numFmtId="2" fontId="0" fillId="2" borderId="0" xfId="0" applyNumberFormat="1" applyFill="1"/>
    <xf numFmtId="43" fontId="0" fillId="8" borderId="0" xfId="14" applyFont="1" applyFill="1" applyBorder="1"/>
    <xf numFmtId="10" fontId="0" fillId="2" borderId="22" xfId="0" applyNumberFormat="1" applyFill="1" applyBorder="1"/>
    <xf numFmtId="0" fontId="7" fillId="3" borderId="11" xfId="0" applyFont="1" applyFill="1" applyBorder="1" applyAlignment="1">
      <alignment horizontal="left" wrapText="1"/>
    </xf>
    <xf numFmtId="43" fontId="0" fillId="2" borderId="22" xfId="0" applyNumberFormat="1" applyFill="1" applyBorder="1"/>
    <xf numFmtId="0" fontId="2" fillId="0" borderId="0" xfId="22"/>
    <xf numFmtId="164" fontId="2" fillId="0" borderId="0" xfId="22" applyNumberFormat="1"/>
    <xf numFmtId="172" fontId="2" fillId="0" borderId="0" xfId="22" applyNumberFormat="1"/>
    <xf numFmtId="179" fontId="2" fillId="0" borderId="0" xfId="22" applyNumberFormat="1"/>
    <xf numFmtId="2" fontId="2" fillId="0" borderId="0" xfId="22" applyNumberFormat="1"/>
    <xf numFmtId="9" fontId="0" fillId="0" borderId="0" xfId="20" applyFont="1"/>
    <xf numFmtId="176" fontId="2" fillId="0" borderId="0" xfId="22" applyNumberFormat="1"/>
    <xf numFmtId="43" fontId="0" fillId="0" borderId="2" xfId="19" applyFont="1" applyBorder="1"/>
    <xf numFmtId="2" fontId="2" fillId="0" borderId="2" xfId="22" applyNumberFormat="1" applyBorder="1"/>
    <xf numFmtId="9" fontId="0" fillId="0" borderId="2" xfId="20" applyFont="1" applyBorder="1"/>
    <xf numFmtId="173" fontId="2" fillId="0" borderId="0" xfId="22" applyNumberFormat="1"/>
    <xf numFmtId="166" fontId="2" fillId="0" borderId="0" xfId="22" applyNumberFormat="1"/>
    <xf numFmtId="181" fontId="2" fillId="0" borderId="0" xfId="22" applyNumberFormat="1"/>
    <xf numFmtId="173" fontId="0" fillId="0" borderId="0" xfId="19" applyNumberFormat="1" applyFont="1" applyAlignment="1">
      <alignment horizontal="right"/>
    </xf>
    <xf numFmtId="0" fontId="2" fillId="0" borderId="0" xfId="22" applyAlignment="1">
      <alignment horizontal="right"/>
    </xf>
    <xf numFmtId="164" fontId="2" fillId="9" borderId="2" xfId="22" applyNumberFormat="1" applyFill="1" applyBorder="1"/>
    <xf numFmtId="173" fontId="0" fillId="9" borderId="2" xfId="19" applyNumberFormat="1" applyFont="1" applyFill="1" applyBorder="1"/>
    <xf numFmtId="0" fontId="2" fillId="9" borderId="2" xfId="22" applyFill="1" applyBorder="1"/>
    <xf numFmtId="164" fontId="2" fillId="9" borderId="2" xfId="22" applyNumberFormat="1" applyFill="1" applyBorder="1" applyAlignment="1">
      <alignment wrapText="1"/>
    </xf>
    <xf numFmtId="0" fontId="2" fillId="0" borderId="3" xfId="22" applyBorder="1"/>
    <xf numFmtId="0" fontId="2" fillId="0" borderId="4" xfId="22" applyBorder="1"/>
    <xf numFmtId="0" fontId="2" fillId="0" borderId="5" xfId="22" applyBorder="1"/>
    <xf numFmtId="0" fontId="2" fillId="0" borderId="7" xfId="22" applyBorder="1"/>
    <xf numFmtId="182" fontId="2" fillId="10" borderId="0" xfId="22" applyNumberFormat="1" applyFill="1"/>
    <xf numFmtId="0" fontId="2" fillId="0" borderId="8" xfId="22" applyBorder="1"/>
    <xf numFmtId="177" fontId="2" fillId="10" borderId="0" xfId="22" applyNumberFormat="1" applyFill="1"/>
    <xf numFmtId="164" fontId="2" fillId="0" borderId="7" xfId="22" applyNumberFormat="1" applyBorder="1"/>
    <xf numFmtId="172" fontId="2" fillId="5" borderId="0" xfId="22" applyNumberFormat="1" applyFill="1"/>
    <xf numFmtId="11" fontId="2" fillId="0" borderId="0" xfId="22" applyNumberFormat="1"/>
    <xf numFmtId="0" fontId="2" fillId="0" borderId="10" xfId="22" applyBorder="1"/>
    <xf numFmtId="0" fontId="2" fillId="0" borderId="11" xfId="22" applyBorder="1"/>
    <xf numFmtId="0" fontId="2" fillId="0" borderId="12" xfId="22" applyBorder="1"/>
    <xf numFmtId="0" fontId="7" fillId="0" borderId="0" xfId="22" applyFont="1"/>
    <xf numFmtId="175" fontId="2" fillId="0" borderId="0" xfId="22" applyNumberFormat="1"/>
    <xf numFmtId="9" fontId="2" fillId="0" borderId="0" xfId="22" applyNumberFormat="1"/>
    <xf numFmtId="0" fontId="2" fillId="0" borderId="0" xfId="22" applyAlignment="1">
      <alignment vertical="center"/>
    </xf>
    <xf numFmtId="9" fontId="2" fillId="0" borderId="16" xfId="22" applyNumberFormat="1" applyBorder="1"/>
    <xf numFmtId="0" fontId="2" fillId="0" borderId="17" xfId="22" applyBorder="1"/>
    <xf numFmtId="10" fontId="0" fillId="0" borderId="0" xfId="20" applyNumberFormat="1" applyFont="1"/>
    <xf numFmtId="9" fontId="2" fillId="0" borderId="18" xfId="22" applyNumberFormat="1" applyBorder="1"/>
    <xf numFmtId="0" fontId="2" fillId="0" borderId="19" xfId="22" applyBorder="1"/>
    <xf numFmtId="9" fontId="0" fillId="0" borderId="18" xfId="20" applyFont="1" applyBorder="1"/>
    <xf numFmtId="180" fontId="2" fillId="0" borderId="0" xfId="22" applyNumberFormat="1"/>
    <xf numFmtId="0" fontId="2" fillId="0" borderId="20" xfId="22" applyBorder="1"/>
    <xf numFmtId="0" fontId="2" fillId="0" borderId="21" xfId="22" applyBorder="1"/>
    <xf numFmtId="0" fontId="2" fillId="2" borderId="0" xfId="18" applyFill="1"/>
    <xf numFmtId="0" fontId="12" fillId="0" borderId="13" xfId="15" applyFont="1" applyBorder="1" applyAlignment="1">
      <alignment horizontal="center" vertical="center"/>
    </xf>
    <xf numFmtId="0" fontId="12" fillId="0" borderId="6" xfId="15" applyFont="1" applyBorder="1" applyAlignment="1">
      <alignment horizontal="center" vertical="center"/>
    </xf>
    <xf numFmtId="0" fontId="12" fillId="0" borderId="9" xfId="15" applyFont="1" applyBorder="1" applyAlignment="1">
      <alignment horizontal="center" vertical="center"/>
    </xf>
    <xf numFmtId="0" fontId="12" fillId="2" borderId="21" xfId="23" applyFont="1" applyFill="1" applyBorder="1"/>
    <xf numFmtId="0" fontId="14" fillId="2" borderId="23" xfId="23" applyFont="1" applyFill="1" applyBorder="1"/>
    <xf numFmtId="0" fontId="12" fillId="2" borderId="20" xfId="23" applyFont="1" applyFill="1" applyBorder="1" applyAlignment="1">
      <alignment horizontal="center" vertical="center"/>
    </xf>
    <xf numFmtId="0" fontId="12" fillId="0" borderId="0" xfId="23" applyFont="1"/>
    <xf numFmtId="0" fontId="13" fillId="0" borderId="0" xfId="23" applyFont="1"/>
    <xf numFmtId="0" fontId="12" fillId="0" borderId="19" xfId="23" applyFont="1" applyBorder="1"/>
    <xf numFmtId="0" fontId="14" fillId="0" borderId="4" xfId="23" applyFont="1" applyBorder="1" applyAlignment="1">
      <alignment horizontal="center"/>
    </xf>
    <xf numFmtId="0" fontId="14" fillId="0" borderId="24" xfId="23" applyFont="1" applyBorder="1" applyAlignment="1">
      <alignment horizontal="center" vertical="center"/>
    </xf>
    <xf numFmtId="0" fontId="14" fillId="0" borderId="0" xfId="23" applyFont="1"/>
    <xf numFmtId="0" fontId="12" fillId="6" borderId="18" xfId="23" applyFont="1" applyFill="1" applyBorder="1" applyAlignment="1">
      <alignment horizontal="center" vertical="center"/>
    </xf>
    <xf numFmtId="0" fontId="12" fillId="2" borderId="18" xfId="23" applyFont="1" applyFill="1" applyBorder="1" applyAlignment="1">
      <alignment horizontal="center" vertical="center"/>
    </xf>
    <xf numFmtId="0" fontId="12" fillId="0" borderId="18" xfId="23" applyFont="1" applyBorder="1" applyAlignment="1">
      <alignment horizontal="center" vertical="center"/>
    </xf>
    <xf numFmtId="9" fontId="12" fillId="0" borderId="0" xfId="23" applyNumberFormat="1" applyFont="1"/>
    <xf numFmtId="0" fontId="12" fillId="0" borderId="24" xfId="23" applyFont="1" applyBorder="1" applyAlignment="1">
      <alignment horizontal="center" vertical="center"/>
    </xf>
    <xf numFmtId="9" fontId="12" fillId="0" borderId="0" xfId="24" applyFont="1" applyBorder="1"/>
    <xf numFmtId="0" fontId="14" fillId="0" borderId="0" xfId="23" applyFont="1" applyAlignment="1">
      <alignment horizontal="left"/>
    </xf>
    <xf numFmtId="0" fontId="23" fillId="0" borderId="0" xfId="23" applyFont="1"/>
    <xf numFmtId="0" fontId="14" fillId="0" borderId="12" xfId="23" applyFont="1" applyBorder="1"/>
    <xf numFmtId="0" fontId="12" fillId="0" borderId="25" xfId="23" applyFont="1" applyBorder="1" applyAlignment="1">
      <alignment horizontal="center" vertical="center"/>
    </xf>
    <xf numFmtId="0" fontId="14" fillId="0" borderId="8" xfId="23" applyFont="1" applyBorder="1"/>
    <xf numFmtId="183" fontId="13" fillId="0" borderId="0" xfId="23" applyNumberFormat="1" applyFont="1"/>
    <xf numFmtId="2" fontId="13" fillId="0" borderId="0" xfId="23" applyNumberFormat="1" applyFont="1"/>
    <xf numFmtId="0" fontId="14" fillId="0" borderId="5" xfId="23" applyFont="1" applyBorder="1"/>
    <xf numFmtId="1" fontId="12" fillId="0" borderId="0" xfId="23" applyNumberFormat="1" applyFont="1"/>
    <xf numFmtId="0" fontId="12" fillId="0" borderId="0" xfId="23" applyFont="1" applyAlignment="1">
      <alignment vertical="center" wrapText="1"/>
    </xf>
    <xf numFmtId="0" fontId="14" fillId="0" borderId="0" xfId="23" applyFont="1" applyAlignment="1">
      <alignment horizontal="right"/>
    </xf>
    <xf numFmtId="183" fontId="12" fillId="0" borderId="0" xfId="23" applyNumberFormat="1" applyFont="1"/>
    <xf numFmtId="0" fontId="12" fillId="11" borderId="18" xfId="23" applyFont="1" applyFill="1" applyBorder="1" applyAlignment="1">
      <alignment horizontal="center" vertical="center"/>
    </xf>
    <xf numFmtId="0" fontId="12" fillId="12" borderId="18" xfId="23" applyFont="1" applyFill="1" applyBorder="1" applyAlignment="1">
      <alignment horizontal="center" vertical="center"/>
    </xf>
    <xf numFmtId="184" fontId="13" fillId="0" borderId="0" xfId="23" applyNumberFormat="1" applyFont="1"/>
    <xf numFmtId="2" fontId="12" fillId="0" borderId="0" xfId="23" applyNumberFormat="1" applyFont="1"/>
    <xf numFmtId="167" fontId="13" fillId="0" borderId="0" xfId="23" applyNumberFormat="1" applyFont="1"/>
    <xf numFmtId="0" fontId="12" fillId="5" borderId="18" xfId="23" applyFont="1" applyFill="1" applyBorder="1" applyAlignment="1">
      <alignment horizontal="center" vertical="center"/>
    </xf>
    <xf numFmtId="0" fontId="12" fillId="0" borderId="17" xfId="23" applyFont="1" applyBorder="1"/>
    <xf numFmtId="0" fontId="14" fillId="0" borderId="26" xfId="23" applyFont="1" applyBorder="1"/>
    <xf numFmtId="0" fontId="12" fillId="0" borderId="16" xfId="23" applyFont="1" applyBorder="1" applyAlignment="1">
      <alignment horizontal="center" vertical="center"/>
    </xf>
    <xf numFmtId="0" fontId="12" fillId="0" borderId="0" xfId="23" applyFont="1" applyAlignment="1">
      <alignment horizontal="center" vertical="center"/>
    </xf>
    <xf numFmtId="43" fontId="12" fillId="0" borderId="0" xfId="14" applyFont="1" applyAlignment="1"/>
  </cellXfs>
  <cellStyles count="25">
    <cellStyle name="Comma" xfId="14" builtinId="3"/>
    <cellStyle name="Comma 2" xfId="2" xr:uid="{CD2B8517-6418-43EF-BA72-9D9408588362}"/>
    <cellStyle name="Comma 3" xfId="4" xr:uid="{98101E1E-D8C5-415E-B868-B436977693A8}"/>
    <cellStyle name="Comma 4" xfId="6" xr:uid="{4809EB42-7880-42FF-B0CA-B41D96944C54}"/>
    <cellStyle name="Comma 5" xfId="8" xr:uid="{49B30E3F-7598-4ACB-9DFF-BC919ACC0F4F}"/>
    <cellStyle name="Comma 6" xfId="12" xr:uid="{C453C3CB-C2A6-45C3-95B1-326AAAF86A31}"/>
    <cellStyle name="Comma 6 2" xfId="19" xr:uid="{7DA4143D-0A78-4FE8-91BD-7F2AC62DEE97}"/>
    <cellStyle name="Comma 7" xfId="13" xr:uid="{68E1D9BD-2E7F-4B8E-B65D-94EA47A5C23C}"/>
    <cellStyle name="Comma 8" xfId="16" xr:uid="{B5C1CBA6-BE1B-4B7B-97F6-393D90DC1829}"/>
    <cellStyle name="Normal" xfId="0" builtinId="0"/>
    <cellStyle name="Normal 2" xfId="1" xr:uid="{A3E86C75-0849-4BD3-B9B9-38860D3FED73}"/>
    <cellStyle name="Normal 2 2" xfId="22" xr:uid="{638DDF88-97BB-4FBB-A0C2-74715A0C7B80}"/>
    <cellStyle name="Normal 3" xfId="3" xr:uid="{90D8CE8B-0D82-4C05-BCF9-3E7DB8816DA8}"/>
    <cellStyle name="Normal 3 2" xfId="21" xr:uid="{0C4D150B-5082-4338-9839-E0ACC4BCB6F9}"/>
    <cellStyle name="Normal 4" xfId="7" xr:uid="{13C487FC-A0A5-44C2-9D5E-DD284F0006AE}"/>
    <cellStyle name="Normal 5" xfId="10" xr:uid="{742586AF-5935-4BEA-BC61-933FE08681FB}"/>
    <cellStyle name="Normal 5 2" xfId="18" xr:uid="{95B5EBBA-E89C-4B63-B9B4-FE4A8236A3C5}"/>
    <cellStyle name="Normal 6" xfId="15" xr:uid="{2998C3F2-A339-42DE-9174-C7824273C0D1}"/>
    <cellStyle name="Normal 7" xfId="23" xr:uid="{4F0E3887-E6C0-4087-A04B-12A70A343A63}"/>
    <cellStyle name="Percent 2" xfId="5" xr:uid="{63457629-2AB5-40B6-87A9-E97F1380A7F8}"/>
    <cellStyle name="Percent 3" xfId="9" xr:uid="{86892906-6B34-4420-8D6F-08DE01E42CB1}"/>
    <cellStyle name="Percent 4" xfId="11" xr:uid="{89E4A910-7EF6-43CC-8F76-62155094BB94}"/>
    <cellStyle name="Percent 4 2" xfId="20" xr:uid="{B88FB696-2EB6-4F26-ADC4-3818D64D397F}"/>
    <cellStyle name="Percent 5" xfId="17" xr:uid="{52965BA8-8BD4-4A5E-B991-16635C78BDAE}"/>
    <cellStyle name="Percent 6" xfId="24" xr:uid="{A4DC403B-90E3-422B-9ADD-38031DC44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17" Type="http://schemas.openxmlformats.org/officeDocument/2006/relationships/image" Target="../media/image22.png"/><Relationship Id="rId2" Type="http://schemas.openxmlformats.org/officeDocument/2006/relationships/image" Target="../media/image7.png"/><Relationship Id="rId16" Type="http://schemas.openxmlformats.org/officeDocument/2006/relationships/image" Target="../media/image21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5" Type="http://schemas.openxmlformats.org/officeDocument/2006/relationships/image" Target="../media/image2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30.png"/><Relationship Id="rId3" Type="http://schemas.openxmlformats.org/officeDocument/2006/relationships/image" Target="../media/image9.png"/><Relationship Id="rId7" Type="http://schemas.openxmlformats.org/officeDocument/2006/relationships/image" Target="../media/image12.png"/><Relationship Id="rId12" Type="http://schemas.openxmlformats.org/officeDocument/2006/relationships/image" Target="../media/image29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11.png"/><Relationship Id="rId11" Type="http://schemas.openxmlformats.org/officeDocument/2006/relationships/image" Target="../media/image28.png"/><Relationship Id="rId5" Type="http://schemas.openxmlformats.org/officeDocument/2006/relationships/image" Target="../media/image25.png"/><Relationship Id="rId10" Type="http://schemas.openxmlformats.org/officeDocument/2006/relationships/image" Target="../media/image27.png"/><Relationship Id="rId4" Type="http://schemas.openxmlformats.org/officeDocument/2006/relationships/image" Target="../media/image10.png"/><Relationship Id="rId9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27652</xdr:colOff>
      <xdr:row>44</xdr:row>
      <xdr:rowOff>186523</xdr:rowOff>
    </xdr:from>
    <xdr:to>
      <xdr:col>2</xdr:col>
      <xdr:colOff>1198137</xdr:colOff>
      <xdr:row>46</xdr:row>
      <xdr:rowOff>4721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B179B3-4649-4873-AD55-F3C07736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27" y="7015948"/>
          <a:ext cx="1170485" cy="21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10582</xdr:rowOff>
    </xdr:from>
    <xdr:to>
      <xdr:col>0</xdr:col>
      <xdr:colOff>1280583</xdr:colOff>
      <xdr:row>44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497FF4-A9F6-4FA1-A47F-A55B8481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9982"/>
          <a:ext cx="1280583" cy="189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93133</xdr:colOff>
      <xdr:row>45</xdr:row>
      <xdr:rowOff>8467</xdr:rowOff>
    </xdr:from>
    <xdr:to>
      <xdr:col>1</xdr:col>
      <xdr:colOff>664633</xdr:colOff>
      <xdr:row>45</xdr:row>
      <xdr:rowOff>198967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309FF-0AEA-4460-A213-67E6F6E4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458" y="7037917"/>
          <a:ext cx="571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160020</xdr:colOff>
      <xdr:row>31</xdr:row>
      <xdr:rowOff>156210</xdr:rowOff>
    </xdr:from>
    <xdr:to>
      <xdr:col>7</xdr:col>
      <xdr:colOff>389128</xdr:colOff>
      <xdr:row>33</xdr:row>
      <xdr:rowOff>148624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EE4390A-BB85-848A-D2EC-B7DE150D0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5440" y="6297930"/>
          <a:ext cx="5867908" cy="388654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</xdr:colOff>
      <xdr:row>0</xdr:row>
      <xdr:rowOff>0</xdr:rowOff>
    </xdr:from>
    <xdr:to>
      <xdr:col>7</xdr:col>
      <xdr:colOff>350858</xdr:colOff>
      <xdr:row>31</xdr:row>
      <xdr:rowOff>157018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B762CA-2E53-BD88-25E1-CAB734B86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8083" y="0"/>
          <a:ext cx="5817150" cy="6253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584854</xdr:colOff>
      <xdr:row>52</xdr:row>
      <xdr:rowOff>118186</xdr:rowOff>
    </xdr:from>
    <xdr:to>
      <xdr:col>5</xdr:col>
      <xdr:colOff>781050</xdr:colOff>
      <xdr:row>54</xdr:row>
      <xdr:rowOff>30166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97DC92-0320-403C-869B-48A7B8F2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54" y="10420426"/>
          <a:ext cx="97136" cy="30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571500</xdr:colOff>
      <xdr:row>53</xdr:row>
      <xdr:rowOff>152399</xdr:rowOff>
    </xdr:from>
    <xdr:to>
      <xdr:col>6</xdr:col>
      <xdr:colOff>0</xdr:colOff>
      <xdr:row>55</xdr:row>
      <xdr:rowOff>92528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65CE6D-4AE7-40ED-96B7-3DEA56B41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0652759"/>
          <a:ext cx="114300" cy="33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578504</xdr:colOff>
      <xdr:row>61</xdr:row>
      <xdr:rowOff>95250</xdr:rowOff>
    </xdr:from>
    <xdr:to>
      <xdr:col>5</xdr:col>
      <xdr:colOff>774700</xdr:colOff>
      <xdr:row>63</xdr:row>
      <xdr:rowOff>7230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C91179-7DB3-4FF6-AA9A-A36C5D753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7504" y="12180570"/>
          <a:ext cx="104756" cy="30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565150</xdr:colOff>
      <xdr:row>62</xdr:row>
      <xdr:rowOff>129463</xdr:rowOff>
    </xdr:from>
    <xdr:to>
      <xdr:col>5</xdr:col>
      <xdr:colOff>781050</xdr:colOff>
      <xdr:row>64</xdr:row>
      <xdr:rowOff>69592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7779B5-AE80-4871-B6D4-ED25BCA3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150" y="12412903"/>
          <a:ext cx="116840" cy="33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1073150</xdr:colOff>
      <xdr:row>52</xdr:row>
      <xdr:rowOff>114300</xdr:rowOff>
    </xdr:from>
    <xdr:to>
      <xdr:col>1</xdr:col>
      <xdr:colOff>1219200</xdr:colOff>
      <xdr:row>54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FA88EF-773F-4211-B77C-138D4FAD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330" y="10416540"/>
          <a:ext cx="1270" cy="37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1085850</xdr:colOff>
      <xdr:row>61</xdr:row>
      <xdr:rowOff>107950</xdr:rowOff>
    </xdr:from>
    <xdr:to>
      <xdr:col>1</xdr:col>
      <xdr:colOff>1231900</xdr:colOff>
      <xdr:row>63</xdr:row>
      <xdr:rowOff>82550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C6F2CC1-8E5F-448D-874C-C6022BBB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790" y="12193270"/>
          <a:ext cx="1270" cy="37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578504</xdr:colOff>
      <xdr:row>88</xdr:row>
      <xdr:rowOff>95250</xdr:rowOff>
    </xdr:from>
    <xdr:to>
      <xdr:col>5</xdr:col>
      <xdr:colOff>774700</xdr:colOff>
      <xdr:row>90</xdr:row>
      <xdr:rowOff>7230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EA1403-37C2-48C3-ADB0-04FEB302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7504" y="17529810"/>
          <a:ext cx="104756" cy="30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565150</xdr:colOff>
      <xdr:row>89</xdr:row>
      <xdr:rowOff>129463</xdr:rowOff>
    </xdr:from>
    <xdr:to>
      <xdr:col>5</xdr:col>
      <xdr:colOff>781050</xdr:colOff>
      <xdr:row>91</xdr:row>
      <xdr:rowOff>69592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D89C49D-E996-404C-8B2F-D3FC1B0F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150" y="17762143"/>
          <a:ext cx="116840" cy="33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1085850</xdr:colOff>
      <xdr:row>88</xdr:row>
      <xdr:rowOff>107950</xdr:rowOff>
    </xdr:from>
    <xdr:to>
      <xdr:col>1</xdr:col>
      <xdr:colOff>1231900</xdr:colOff>
      <xdr:row>90</xdr:row>
      <xdr:rowOff>82550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8773013-F6AD-46AA-AE71-18DA1398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790" y="17542510"/>
          <a:ext cx="1270" cy="37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545378</xdr:colOff>
      <xdr:row>180</xdr:row>
      <xdr:rowOff>126999</xdr:rowOff>
    </xdr:from>
    <xdr:to>
      <xdr:col>5</xdr:col>
      <xdr:colOff>782153</xdr:colOff>
      <xdr:row>182</xdr:row>
      <xdr:rowOff>65452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DB1C79-FF8B-4B22-A999-DA8F1215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4378" y="35788599"/>
          <a:ext cx="137715" cy="334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530362</xdr:colOff>
      <xdr:row>181</xdr:row>
      <xdr:rowOff>107950</xdr:rowOff>
    </xdr:from>
    <xdr:to>
      <xdr:col>6</xdr:col>
      <xdr:colOff>34079</xdr:colOff>
      <xdr:row>183</xdr:row>
      <xdr:rowOff>88900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59CF760-3DCA-4D1F-AB55-6CCAF425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362" y="35967670"/>
          <a:ext cx="189517" cy="37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528078</xdr:colOff>
      <xdr:row>179</xdr:row>
      <xdr:rowOff>130512</xdr:rowOff>
    </xdr:from>
    <xdr:to>
      <xdr:col>5</xdr:col>
      <xdr:colOff>759991</xdr:colOff>
      <xdr:row>181</xdr:row>
      <xdr:rowOff>41549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D890066-A833-4A90-B9D7-835DEE97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078" y="35593992"/>
          <a:ext cx="155713" cy="307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1178891</xdr:colOff>
      <xdr:row>182</xdr:row>
      <xdr:rowOff>13528</xdr:rowOff>
    </xdr:from>
    <xdr:to>
      <xdr:col>1</xdr:col>
      <xdr:colOff>1324941</xdr:colOff>
      <xdr:row>182</xdr:row>
      <xdr:rowOff>178628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3194B4C-A017-4A7D-99A0-A1FD036B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391" y="36071368"/>
          <a:ext cx="127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1166191</xdr:colOff>
      <xdr:row>183</xdr:row>
      <xdr:rowOff>828</xdr:rowOff>
    </xdr:from>
    <xdr:to>
      <xdr:col>1</xdr:col>
      <xdr:colOff>1312241</xdr:colOff>
      <xdr:row>183</xdr:row>
      <xdr:rowOff>176696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9246CF6-DC0D-42B6-94F5-91BF8C3B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931" y="36256788"/>
          <a:ext cx="1270" cy="17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42</xdr:row>
      <xdr:rowOff>16808</xdr:rowOff>
    </xdr:from>
    <xdr:to>
      <xdr:col>9</xdr:col>
      <xdr:colOff>563993</xdr:colOff>
      <xdr:row>45</xdr:row>
      <xdr:rowOff>191785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6FE7BAE-1752-4035-AA51-1B4D5BFB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337848"/>
          <a:ext cx="3992993" cy="76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218646</xdr:colOff>
      <xdr:row>46</xdr:row>
      <xdr:rowOff>65983</xdr:rowOff>
    </xdr:from>
    <xdr:to>
      <xdr:col>7</xdr:col>
      <xdr:colOff>477774</xdr:colOff>
      <xdr:row>50</xdr:row>
      <xdr:rowOff>95250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DE74E19-28F7-4653-BA72-4EB0907E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846" y="9179503"/>
          <a:ext cx="2316528" cy="821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9</xdr:col>
      <xdr:colOff>563993</xdr:colOff>
      <xdr:row>81</xdr:row>
      <xdr:rowOff>174976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1B1F13-B0D4-4B00-9C39-86F609A9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453360"/>
          <a:ext cx="3992993" cy="76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218646</xdr:colOff>
      <xdr:row>82</xdr:row>
      <xdr:rowOff>49174</xdr:rowOff>
    </xdr:from>
    <xdr:to>
      <xdr:col>7</xdr:col>
      <xdr:colOff>477774</xdr:colOff>
      <xdr:row>86</xdr:row>
      <xdr:rowOff>78441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AF34799-7937-4926-BABA-8AFB23E1F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846" y="16295014"/>
          <a:ext cx="2316528" cy="821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137</xdr:row>
      <xdr:rowOff>0</xdr:rowOff>
    </xdr:from>
    <xdr:ext cx="4887084" cy="595532"/>
    <xdr:pic>
      <xdr:nvPicPr>
        <xdr:cNvPr id="20" name="Picture 19">
          <a:extLst>
            <a:ext uri="{FF2B5EF4-FFF2-40B4-BE49-F238E27FC236}">
              <a16:creationId xmlns:a16="http://schemas.microsoft.com/office/drawing/2014/main" id="{DE121227-209B-494B-8889-12B3DBD7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5800" y="27142440"/>
          <a:ext cx="4887084" cy="5955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68</xdr:row>
      <xdr:rowOff>0</xdr:rowOff>
    </xdr:from>
    <xdr:ext cx="7179326" cy="623612"/>
    <xdr:pic>
      <xdr:nvPicPr>
        <xdr:cNvPr id="21" name="Picture 20">
          <a:extLst>
            <a:ext uri="{FF2B5EF4-FFF2-40B4-BE49-F238E27FC236}">
              <a16:creationId xmlns:a16="http://schemas.microsoft.com/office/drawing/2014/main" id="{09F656FF-A884-4F24-AED1-3F106FBDD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85800" y="13472160"/>
          <a:ext cx="7179326" cy="62361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95</xdr:row>
      <xdr:rowOff>0</xdr:rowOff>
    </xdr:from>
    <xdr:ext cx="7305056" cy="2554624"/>
    <xdr:pic>
      <xdr:nvPicPr>
        <xdr:cNvPr id="22" name="Picture 21">
          <a:extLst>
            <a:ext uri="{FF2B5EF4-FFF2-40B4-BE49-F238E27FC236}">
              <a16:creationId xmlns:a16="http://schemas.microsoft.com/office/drawing/2014/main" id="{305CE5C9-1486-46DA-9E81-3D96BE128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5800" y="18821400"/>
          <a:ext cx="7305056" cy="2554624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108</xdr:row>
      <xdr:rowOff>200024</xdr:rowOff>
    </xdr:from>
    <xdr:ext cx="6504951" cy="8123428"/>
    <xdr:pic>
      <xdr:nvPicPr>
        <xdr:cNvPr id="23" name="Picture 22">
          <a:extLst>
            <a:ext uri="{FF2B5EF4-FFF2-40B4-BE49-F238E27FC236}">
              <a16:creationId xmlns:a16="http://schemas.microsoft.com/office/drawing/2014/main" id="{D3765372-C67B-479B-861C-F2151EDE7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85800" y="21596984"/>
          <a:ext cx="6504951" cy="812342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161</xdr:row>
      <xdr:rowOff>0</xdr:rowOff>
    </xdr:from>
    <xdr:ext cx="5202650" cy="2878531"/>
    <xdr:pic>
      <xdr:nvPicPr>
        <xdr:cNvPr id="24" name="Picture 23">
          <a:extLst>
            <a:ext uri="{FF2B5EF4-FFF2-40B4-BE49-F238E27FC236}">
              <a16:creationId xmlns:a16="http://schemas.microsoft.com/office/drawing/2014/main" id="{0648FBCB-16FE-4C4C-BA96-673340202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743200" y="31897320"/>
          <a:ext cx="5202650" cy="287853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779272" cy="5582923"/>
    <xdr:pic>
      <xdr:nvPicPr>
        <xdr:cNvPr id="25" name="Picture 24">
          <a:extLst>
            <a:ext uri="{FF2B5EF4-FFF2-40B4-BE49-F238E27FC236}">
              <a16:creationId xmlns:a16="http://schemas.microsoft.com/office/drawing/2014/main" id="{09EE6946-EE3C-459C-97DE-70DEEA9F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85800" y="198120"/>
          <a:ext cx="6779272" cy="5582923"/>
        </a:xfrm>
        <a:prstGeom prst="rect">
          <a:avLst/>
        </a:prstGeom>
      </xdr:spPr>
    </xdr:pic>
    <xdr:clientData/>
  </xdr:oneCellAnchor>
  <xdr:oneCellAnchor>
    <xdr:from>
      <xdr:col>0</xdr:col>
      <xdr:colOff>685799</xdr:colOff>
      <xdr:row>150</xdr:row>
      <xdr:rowOff>0</xdr:rowOff>
    </xdr:from>
    <xdr:ext cx="6532294" cy="1026130"/>
    <xdr:pic>
      <xdr:nvPicPr>
        <xdr:cNvPr id="26" name="Picture 25">
          <a:extLst>
            <a:ext uri="{FF2B5EF4-FFF2-40B4-BE49-F238E27FC236}">
              <a16:creationId xmlns:a16="http://schemas.microsoft.com/office/drawing/2014/main" id="{9641BD46-94E4-4047-BBA0-6B7A76C4E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85799" y="29718000"/>
          <a:ext cx="6532294" cy="10261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349250</xdr:colOff>
      <xdr:row>38</xdr:row>
      <xdr:rowOff>162086</xdr:rowOff>
    </xdr:from>
    <xdr:to>
      <xdr:col>9</xdr:col>
      <xdr:colOff>6350</xdr:colOff>
      <xdr:row>39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773F00-F00E-4058-AAE8-D4DC0B84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650" y="7690646"/>
          <a:ext cx="342900" cy="3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349250</xdr:colOff>
      <xdr:row>39</xdr:row>
      <xdr:rowOff>0</xdr:rowOff>
    </xdr:from>
    <xdr:to>
      <xdr:col>9</xdr:col>
      <xdr:colOff>6350</xdr:colOff>
      <xdr:row>41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0F35A8-8619-4D52-A033-E9CFE0090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650" y="7726680"/>
          <a:ext cx="342900" cy="48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395080</xdr:colOff>
      <xdr:row>41</xdr:row>
      <xdr:rowOff>61567</xdr:rowOff>
    </xdr:from>
    <xdr:to>
      <xdr:col>9</xdr:col>
      <xdr:colOff>42517</xdr:colOff>
      <xdr:row>43</xdr:row>
      <xdr:rowOff>134199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C13D4A-55D2-43DA-95F4-FB115291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1480" y="8184487"/>
          <a:ext cx="333237" cy="468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545378</xdr:colOff>
      <xdr:row>40</xdr:row>
      <xdr:rowOff>126999</xdr:rowOff>
    </xdr:from>
    <xdr:to>
      <xdr:col>5</xdr:col>
      <xdr:colOff>782153</xdr:colOff>
      <xdr:row>42</xdr:row>
      <xdr:rowOff>65452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3DFBE1-6210-45C5-8DEC-EDB25A6E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4378" y="8051799"/>
          <a:ext cx="137715" cy="334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530362</xdr:colOff>
      <xdr:row>41</xdr:row>
      <xdr:rowOff>107950</xdr:rowOff>
    </xdr:from>
    <xdr:to>
      <xdr:col>6</xdr:col>
      <xdr:colOff>34079</xdr:colOff>
      <xdr:row>43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813308-208F-4B7E-9627-F4F94397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362" y="8230870"/>
          <a:ext cx="189517" cy="37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393700</xdr:colOff>
      <xdr:row>43</xdr:row>
      <xdr:rowOff>94145</xdr:rowOff>
    </xdr:from>
    <xdr:to>
      <xdr:col>9</xdr:col>
      <xdr:colOff>46659</xdr:colOff>
      <xdr:row>45</xdr:row>
      <xdr:rowOff>165494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2920D3-32EC-464E-998C-4174F3DED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613305"/>
          <a:ext cx="338759" cy="467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528078</xdr:colOff>
      <xdr:row>39</xdr:row>
      <xdr:rowOff>130512</xdr:rowOff>
    </xdr:from>
    <xdr:to>
      <xdr:col>5</xdr:col>
      <xdr:colOff>759991</xdr:colOff>
      <xdr:row>41</xdr:row>
      <xdr:rowOff>41549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FF3541-5FB4-4130-BD78-01466183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078" y="7857192"/>
          <a:ext cx="155713" cy="307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1178891</xdr:colOff>
      <xdr:row>42</xdr:row>
      <xdr:rowOff>13528</xdr:rowOff>
    </xdr:from>
    <xdr:to>
      <xdr:col>1</xdr:col>
      <xdr:colOff>1324941</xdr:colOff>
      <xdr:row>42</xdr:row>
      <xdr:rowOff>178628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82886FF-1BF6-4CA6-9217-9C373C45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391" y="8334568"/>
          <a:ext cx="127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1166191</xdr:colOff>
      <xdr:row>43</xdr:row>
      <xdr:rowOff>828</xdr:rowOff>
    </xdr:from>
    <xdr:to>
      <xdr:col>1</xdr:col>
      <xdr:colOff>1312241</xdr:colOff>
      <xdr:row>43</xdr:row>
      <xdr:rowOff>176696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78939B-5DFF-4313-9CD3-1009915C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931" y="8519988"/>
          <a:ext cx="1270" cy="17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20</xdr:row>
      <xdr:rowOff>0</xdr:rowOff>
    </xdr:from>
    <xdr:ext cx="5149446" cy="908354"/>
    <xdr:pic>
      <xdr:nvPicPr>
        <xdr:cNvPr id="11" name="Picture 10">
          <a:extLst>
            <a:ext uri="{FF2B5EF4-FFF2-40B4-BE49-F238E27FC236}">
              <a16:creationId xmlns:a16="http://schemas.microsoft.com/office/drawing/2014/main" id="{5F2E2D1E-B6B1-4077-9543-ED2162161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43200" y="3962400"/>
          <a:ext cx="5149446" cy="908354"/>
        </a:xfrm>
        <a:prstGeom prst="rect">
          <a:avLst/>
        </a:prstGeom>
      </xdr:spPr>
    </xdr:pic>
    <xdr:clientData/>
  </xdr:oneCellAnchor>
  <xdr:oneCellAnchor>
    <xdr:from>
      <xdr:col>3</xdr:col>
      <xdr:colOff>672353</xdr:colOff>
      <xdr:row>24</xdr:row>
      <xdr:rowOff>145677</xdr:rowOff>
    </xdr:from>
    <xdr:ext cx="6600506" cy="951497"/>
    <xdr:pic>
      <xdr:nvPicPr>
        <xdr:cNvPr id="12" name="Picture 11">
          <a:extLst>
            <a:ext uri="{FF2B5EF4-FFF2-40B4-BE49-F238E27FC236}">
              <a16:creationId xmlns:a16="http://schemas.microsoft.com/office/drawing/2014/main" id="{9B7B5457-9605-4BE6-AD9E-725173AE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29753" y="4900557"/>
          <a:ext cx="6600506" cy="951497"/>
        </a:xfrm>
        <a:prstGeom prst="rect">
          <a:avLst/>
        </a:prstGeom>
      </xdr:spPr>
    </xdr:pic>
    <xdr:clientData/>
  </xdr:oneCellAnchor>
  <xdr:oneCellAnchor>
    <xdr:from>
      <xdr:col>3</xdr:col>
      <xdr:colOff>319367</xdr:colOff>
      <xdr:row>30</xdr:row>
      <xdr:rowOff>173691</xdr:rowOff>
    </xdr:from>
    <xdr:ext cx="8146706" cy="681099"/>
    <xdr:pic>
      <xdr:nvPicPr>
        <xdr:cNvPr id="13" name="Picture 12">
          <a:extLst>
            <a:ext uri="{FF2B5EF4-FFF2-40B4-BE49-F238E27FC236}">
              <a16:creationId xmlns:a16="http://schemas.microsoft.com/office/drawing/2014/main" id="{95C96C47-EF49-4892-BF1F-8B507E4E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6767" y="6117291"/>
          <a:ext cx="8146706" cy="681099"/>
        </a:xfrm>
        <a:prstGeom prst="rect">
          <a:avLst/>
        </a:prstGeom>
      </xdr:spPr>
    </xdr:pic>
    <xdr:clientData/>
  </xdr:oneCellAnchor>
  <xdr:oneCellAnchor>
    <xdr:from>
      <xdr:col>1</xdr:col>
      <xdr:colOff>403412</xdr:colOff>
      <xdr:row>61</xdr:row>
      <xdr:rowOff>145677</xdr:rowOff>
    </xdr:from>
    <xdr:ext cx="6494836" cy="1712497"/>
    <xdr:pic>
      <xdr:nvPicPr>
        <xdr:cNvPr id="14" name="Picture 13">
          <a:extLst>
            <a:ext uri="{FF2B5EF4-FFF2-40B4-BE49-F238E27FC236}">
              <a16:creationId xmlns:a16="http://schemas.microsoft.com/office/drawing/2014/main" id="{D71A3221-25F5-4DAC-85B5-1D9B89527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89212" y="12230997"/>
          <a:ext cx="6494836" cy="1712497"/>
        </a:xfrm>
        <a:prstGeom prst="rect">
          <a:avLst/>
        </a:prstGeom>
      </xdr:spPr>
    </xdr:pic>
    <xdr:clientData/>
  </xdr:oneCellAnchor>
  <xdr:oneCellAnchor>
    <xdr:from>
      <xdr:col>0</xdr:col>
      <xdr:colOff>488950</xdr:colOff>
      <xdr:row>0</xdr:row>
      <xdr:rowOff>31750</xdr:rowOff>
    </xdr:from>
    <xdr:ext cx="5447643" cy="1599022"/>
    <xdr:pic>
      <xdr:nvPicPr>
        <xdr:cNvPr id="15" name="Picture 14">
          <a:extLst>
            <a:ext uri="{FF2B5EF4-FFF2-40B4-BE49-F238E27FC236}">
              <a16:creationId xmlns:a16="http://schemas.microsoft.com/office/drawing/2014/main" id="{35E6989B-A74B-4FB6-A64F-420678239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88950" y="31750"/>
          <a:ext cx="5447643" cy="15990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eco-my.sharepoint.com/personal/jaesoo_lew_cleco_com/Documents/PCMigration/Papers/QFI/2024/QFI%20QF%201024_v4.xlsx" TargetMode="External"/><Relationship Id="rId1" Type="http://schemas.openxmlformats.org/officeDocument/2006/relationships/externalLinkPath" Target="https://cleco-my.sharepoint.com/personal/jaesoo_lew_cleco_com/Documents/PCMigration/Papers/QFI/2024/QFI%20QF%201024_v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Relationship Id="rId1" Type="http://schemas.openxmlformats.org/officeDocument/2006/relationships/externalLinkPath" Target="https://cleco-my.sharepoint.com/personal/jaesoo_lew_cleco_com/Documents/PCMigration/Papers/QFI/2024/QFI%20QF%202024%20Fall%20(Topic%203)%20Yong%20Jiang_DRAFT_1008_v1104_revise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Relationship Id="rId1" Type="http://schemas.openxmlformats.org/officeDocument/2006/relationships/externalLinkPath" Target="https://uofc-my.sharepoint.com/Users/chlai/SynologyDrive/Documents/SOA%20volunteer/QFI%20Quantitative%20Finance/Fall%202024%20Exam/QFI%20QF%202024%20Fall%20(Topic%203)%20Yong%20Jiang_DRAFT_1008_v1104_revised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ot\Documents\SOA%20Exam%20Committee\2025%20QFI-QF\2025%20Pre-review\QFI%20QF%202025%20Q08%20(Topic%203)%20Lucy%20Wang%20Q1%20workbook_0928_new.xlsx" TargetMode="External"/><Relationship Id="rId1" Type="http://schemas.openxmlformats.org/officeDocument/2006/relationships/externalLinkPath" Target="file:///C:\Users\timot\Documents\SOA%20Exam%20Committee\2025%20QFI-QF\2025%20Pre-review\QFI%20QF%202025%20Q08%20(Topic%203)%20Lucy%20Wang%20Q1%20workbook_0928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didate #"/>
      <sheetName val="Q5"/>
      <sheetName val="Q10"/>
      <sheetName val="Q11"/>
    </sheetNames>
    <sheetDataSet>
      <sheetData sheetId="0"/>
      <sheetData sheetId="1">
        <row r="110">
          <cell r="K110" t="str">
            <v>Hedge Ratio
(Δ)</v>
          </cell>
        </row>
      </sheetData>
      <sheetData sheetId="2">
        <row r="95">
          <cell r="C95">
            <v>200</v>
          </cell>
        </row>
        <row r="96">
          <cell r="C96">
            <v>0.1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 (a)"/>
      <sheetName val="question (c) Vega_vs_vol"/>
      <sheetName val="supporting graphs for (c)"/>
      <sheetName val="Just some background (notused)"/>
    </sheetNames>
    <sheetDataSet>
      <sheetData sheetId="0">
        <row r="1">
          <cell r="C1">
            <v>100</v>
          </cell>
        </row>
        <row r="3">
          <cell r="C3">
            <v>0.03</v>
          </cell>
        </row>
      </sheetData>
      <sheetData sheetId="1">
        <row r="3">
          <cell r="F3" t="str">
            <v>volatility at t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 (a)"/>
      <sheetName val="question (c) Vega_vs_vol"/>
      <sheetName val="supporting graphs for (c)"/>
      <sheetName val="Just some background (notused)"/>
    </sheetNames>
    <sheetDataSet>
      <sheetData sheetId="0">
        <row r="1">
          <cell r="C1">
            <v>100</v>
          </cell>
        </row>
        <row r="3">
          <cell r="C3">
            <v>0.03</v>
          </cell>
        </row>
      </sheetData>
      <sheetData sheetId="1">
        <row r="3">
          <cell r="F3" t="str">
            <v>volatility at t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"/>
      <sheetName val="P91 of textbook"/>
      <sheetName val="Main (QW and Grader)"/>
      <sheetName val="CBT - part (a)"/>
      <sheetName val="CBT - part (b)"/>
      <sheetName val="CBT - part (c)"/>
    </sheetNames>
    <sheetDataSet>
      <sheetData sheetId="0">
        <row r="4">
          <cell r="C4">
            <v>1</v>
          </cell>
        </row>
      </sheetData>
      <sheetData sheetId="1" refreshError="1"/>
      <sheetData sheetId="2">
        <row r="8">
          <cell r="B8">
            <v>0.03</v>
          </cell>
        </row>
        <row r="9">
          <cell r="B9">
            <v>0.15</v>
          </cell>
        </row>
        <row r="10">
          <cell r="B10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2295-C93B-45E6-A1A5-12AF774077C8}">
  <dimension ref="A1:C1"/>
  <sheetViews>
    <sheetView workbookViewId="0">
      <selection activeCell="C4" sqref="C4"/>
    </sheetView>
  </sheetViews>
  <sheetFormatPr defaultColWidth="8.375" defaultRowHeight="14.25"/>
  <cols>
    <col min="1" max="1" width="13.5" style="2" bestFit="1" customWidth="1"/>
    <col min="2" max="2" width="8.375" style="2"/>
    <col min="3" max="3" width="15.375" style="2" customWidth="1"/>
    <col min="4" max="16384" width="8.375" style="2"/>
  </cols>
  <sheetData>
    <row r="1" spans="1:3" ht="15.75">
      <c r="A1" s="1" t="s">
        <v>1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EFC4-9E14-4655-93E9-33ED8202D152}">
  <dimension ref="A1:N68"/>
  <sheetViews>
    <sheetView showGridLines="0" zoomScale="120" zoomScaleNormal="120" workbookViewId="0">
      <selection activeCell="C43" sqref="C43"/>
    </sheetView>
  </sheetViews>
  <sheetFormatPr defaultColWidth="11.125" defaultRowHeight="15.75"/>
  <cols>
    <col min="1" max="1" width="19.125" bestFit="1" customWidth="1"/>
    <col min="3" max="3" width="17.625" customWidth="1"/>
    <col min="13" max="13" width="14.875" bestFit="1" customWidth="1"/>
    <col min="18" max="18" width="12.5" bestFit="1" customWidth="1"/>
  </cols>
  <sheetData>
    <row r="1" spans="1:1" ht="17.25">
      <c r="A1" s="10" t="s">
        <v>2</v>
      </c>
    </row>
    <row r="37" spans="1:14">
      <c r="B37" s="4" t="s">
        <v>17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9" spans="1:14">
      <c r="A39" s="7" t="s">
        <v>3</v>
      </c>
      <c r="B39" s="7" t="s">
        <v>4</v>
      </c>
    </row>
    <row r="40" spans="1:14">
      <c r="A40" s="7" t="s">
        <v>5</v>
      </c>
      <c r="B40" s="8">
        <v>0.56999999999999995</v>
      </c>
      <c r="C40" s="4" t="s">
        <v>14</v>
      </c>
      <c r="D40" s="4"/>
    </row>
    <row r="41" spans="1:14">
      <c r="A41" s="7" t="s">
        <v>6</v>
      </c>
      <c r="B41" s="8">
        <v>4.9000000000000002E-2</v>
      </c>
    </row>
    <row r="42" spans="1:14">
      <c r="A42" s="7" t="s">
        <v>7</v>
      </c>
      <c r="B42" s="8">
        <v>6.2399999999999997E-2</v>
      </c>
    </row>
    <row r="43" spans="1:14" ht="18">
      <c r="A43" s="7" t="s">
        <v>8</v>
      </c>
      <c r="B43" s="8">
        <v>5.04E-2</v>
      </c>
    </row>
    <row r="44" spans="1:14">
      <c r="A44" s="7"/>
      <c r="B44" s="8">
        <f>(B40^2+2*B41)^0.5</f>
        <v>0.65030761951556426</v>
      </c>
      <c r="C44" s="4" t="s">
        <v>15</v>
      </c>
      <c r="D44" s="4"/>
    </row>
    <row r="46" spans="1:14">
      <c r="A46" s="9" t="s">
        <v>0</v>
      </c>
      <c r="D46" s="6" t="s">
        <v>9</v>
      </c>
      <c r="E46" s="6" t="s">
        <v>10</v>
      </c>
      <c r="F46" s="6" t="s">
        <v>11</v>
      </c>
    </row>
    <row r="47" spans="1:14">
      <c r="A47">
        <v>0.5</v>
      </c>
      <c r="B47" s="8">
        <f t="shared" ref="B47:B66" si="0">EXP($B$44*A47)-1</f>
        <v>0.38424353977132419</v>
      </c>
      <c r="C47" s="8">
        <f t="shared" ref="C47" si="1">($B$40+$B$44)*B47+2*$B$44</f>
        <v>1.7695105583637072</v>
      </c>
      <c r="D47" s="8">
        <f t="shared" ref="D47" si="2">2*B47/C47</f>
        <v>0.43429358243178828</v>
      </c>
      <c r="E47" s="8">
        <f t="shared" ref="E47" si="3">2*$B$40*$B$42/$B$41*LN(2*$B$44*EXP(($B$44+$B$40)*A47/2)/C47)</f>
        <v>-4.0484651184642464E-3</v>
      </c>
      <c r="F47" s="8">
        <f t="shared" ref="F47" si="4">EXP(E47-D47*$B$43)</f>
        <v>0.97439660943832807</v>
      </c>
      <c r="G47" s="4" t="s">
        <v>16</v>
      </c>
      <c r="H47" s="4"/>
      <c r="I47" s="4"/>
      <c r="J47" s="4"/>
      <c r="K47" s="4"/>
    </row>
    <row r="48" spans="1:14">
      <c r="A48">
        <f>0.5+A47</f>
        <v>1</v>
      </c>
      <c r="B48" s="8">
        <f t="shared" si="0"/>
        <v>0.91613017739864566</v>
      </c>
      <c r="C48" s="8">
        <f t="shared" ref="C48:C66" si="5">($B$40+$B$44)*B48+2*$B$44</f>
        <v>2.4185758749788411</v>
      </c>
      <c r="D48" s="8">
        <f t="shared" ref="D48:D66" si="6">2*B48/C48</f>
        <v>0.75757819870477328</v>
      </c>
      <c r="E48" s="8">
        <f t="shared" ref="E48:E66" si="7">2*$B$40*$B$42/$B$41*LN(2*$B$44*EXP(($B$44+$B$40)*A48/2)/C48)</f>
        <v>-1.4789990962686591E-2</v>
      </c>
      <c r="F48" s="8">
        <f t="shared" ref="F48:F66" si="8">EXP(E48-D48*$B$43)</f>
        <v>0.94840663181781082</v>
      </c>
      <c r="G48" s="4" t="s">
        <v>13</v>
      </c>
      <c r="H48" s="4"/>
      <c r="I48" s="4"/>
      <c r="J48" s="4"/>
      <c r="K48" s="4"/>
    </row>
    <row r="49" spans="1:6">
      <c r="A49">
        <f t="shared" ref="A49:A66" si="9">0.5+A48</f>
        <v>1.5</v>
      </c>
      <c r="B49" s="8">
        <f t="shared" si="0"/>
        <v>1.6523908194249568</v>
      </c>
      <c r="C49" s="8">
        <f t="shared" si="5"/>
        <v>3.3170403463929699</v>
      </c>
      <c r="D49" s="8">
        <f t="shared" si="6"/>
        <v>0.99630432365515642</v>
      </c>
      <c r="E49" s="8">
        <f t="shared" si="7"/>
        <v>-3.0493818984078852E-2</v>
      </c>
      <c r="F49" s="8">
        <f t="shared" si="8"/>
        <v>0.9224634200681634</v>
      </c>
    </row>
    <row r="50" spans="1:6">
      <c r="A50">
        <f t="shared" si="9"/>
        <v>2</v>
      </c>
      <c r="B50" s="8">
        <f t="shared" si="0"/>
        <v>2.6715548567377656</v>
      </c>
      <c r="C50" s="8">
        <f t="shared" si="5"/>
        <v>4.5607339866620356</v>
      </c>
      <c r="D50" s="8">
        <f t="shared" si="6"/>
        <v>1.171546011914216</v>
      </c>
      <c r="E50" s="8">
        <f t="shared" si="7"/>
        <v>-4.9851150259719687E-2</v>
      </c>
      <c r="F50" s="8">
        <f t="shared" si="8"/>
        <v>0.89682272337398772</v>
      </c>
    </row>
    <row r="51" spans="1:6">
      <c r="A51">
        <f t="shared" si="9"/>
        <v>2.5</v>
      </c>
      <c r="B51" s="8">
        <f t="shared" si="0"/>
        <v>4.0823260913552817</v>
      </c>
      <c r="C51" s="8">
        <f t="shared" si="5"/>
        <v>6.2823088736591703</v>
      </c>
      <c r="D51" s="8">
        <f t="shared" si="6"/>
        <v>1.2996260366859376</v>
      </c>
      <c r="E51" s="8">
        <f t="shared" si="7"/>
        <v>-7.188456884659486E-2</v>
      </c>
      <c r="F51" s="8">
        <f t="shared" si="8"/>
        <v>0.8716339536790435</v>
      </c>
    </row>
    <row r="52" spans="1:6">
      <c r="A52">
        <f t="shared" si="9"/>
        <v>3</v>
      </c>
      <c r="B52" s="8">
        <f t="shared" si="0"/>
        <v>6.0351770589697926</v>
      </c>
      <c r="C52" s="8">
        <f t="shared" si="5"/>
        <v>8.6653877892174993</v>
      </c>
      <c r="D52" s="8">
        <f t="shared" si="6"/>
        <v>1.3929387133670981</v>
      </c>
      <c r="E52" s="8">
        <f t="shared" si="7"/>
        <v>-9.587076113191266E-2</v>
      </c>
      <c r="F52" s="8">
        <f t="shared" si="8"/>
        <v>0.84698281627597649</v>
      </c>
    </row>
    <row r="53" spans="1:6">
      <c r="A53">
        <f t="shared" si="9"/>
        <v>3.5</v>
      </c>
      <c r="B53" s="8">
        <f t="shared" si="0"/>
        <v>8.7383983950263637</v>
      </c>
      <c r="C53" s="8">
        <f t="shared" si="5"/>
        <v>11.964149382844377</v>
      </c>
      <c r="D53" s="8">
        <f t="shared" si="6"/>
        <v>1.4607638396017557</v>
      </c>
      <c r="E53" s="8">
        <f t="shared" si="7"/>
        <v>-0.12127799418137938</v>
      </c>
      <c r="F53" s="8">
        <f t="shared" si="8"/>
        <v>0.82291654101018707</v>
      </c>
    </row>
    <row r="54" spans="1:6">
      <c r="A54">
        <f t="shared" si="9"/>
        <v>4</v>
      </c>
      <c r="B54" s="8">
        <f t="shared" si="0"/>
        <v>12.480315066034674</v>
      </c>
      <c r="C54" s="8">
        <f t="shared" si="5"/>
        <v>16.530438808068133</v>
      </c>
      <c r="D54" s="8">
        <f t="shared" si="6"/>
        <v>1.5099798875203863</v>
      </c>
      <c r="E54" s="8">
        <f t="shared" si="7"/>
        <v>-0.14771725073682157</v>
      </c>
      <c r="F54" s="8">
        <f t="shared" si="8"/>
        <v>0.79945883451722499</v>
      </c>
    </row>
    <row r="55" spans="1:6">
      <c r="A55">
        <f t="shared" si="9"/>
        <v>4.5</v>
      </c>
      <c r="B55" s="8">
        <f t="shared" si="0"/>
        <v>17.660039044240545</v>
      </c>
      <c r="C55" s="8">
        <f t="shared" si="5"/>
        <v>22.851295445660227</v>
      </c>
      <c r="D55" s="8">
        <f t="shared" si="6"/>
        <v>1.5456488308276131</v>
      </c>
      <c r="E55" s="8">
        <f t="shared" si="7"/>
        <v>-0.17490491699608909</v>
      </c>
      <c r="F55" s="8">
        <f t="shared" si="8"/>
        <v>0.77661882781945613</v>
      </c>
    </row>
    <row r="56" spans="1:6">
      <c r="A56">
        <f t="shared" si="9"/>
        <v>5</v>
      </c>
      <c r="B56" s="8">
        <f t="shared" si="0"/>
        <v>24.830038498870657</v>
      </c>
      <c r="C56" s="8">
        <f t="shared" si="5"/>
        <v>31.600900412067791</v>
      </c>
      <c r="D56" s="8">
        <f t="shared" si="6"/>
        <v>1.5714766462406577</v>
      </c>
      <c r="E56" s="8">
        <f t="shared" si="7"/>
        <v>-0.20263474626167885</v>
      </c>
      <c r="F56" s="8">
        <f t="shared" si="8"/>
        <v>0.75439651349616255</v>
      </c>
    </row>
    <row r="57" spans="1:6">
      <c r="A57">
        <f t="shared" si="9"/>
        <v>5.5</v>
      </c>
      <c r="B57" s="8">
        <f t="shared" si="0"/>
        <v>34.755063924106295</v>
      </c>
      <c r="C57" s="8">
        <f t="shared" si="5"/>
        <v>43.712484562368552</v>
      </c>
      <c r="D57" s="8">
        <f t="shared" si="6"/>
        <v>1.5901664831939766</v>
      </c>
      <c r="E57" s="8">
        <f t="shared" si="7"/>
        <v>-0.2307570284037537</v>
      </c>
      <c r="F57" s="8">
        <f t="shared" si="8"/>
        <v>0.7327861109815319</v>
      </c>
    </row>
    <row r="58" spans="1:6">
      <c r="A58">
        <f t="shared" si="9"/>
        <v>6</v>
      </c>
      <c r="B58" s="8">
        <f t="shared" si="0"/>
        <v>48.493716251054863</v>
      </c>
      <c r="C58" s="8">
        <f t="shared" si="5"/>
        <v>60.477866678819119</v>
      </c>
      <c r="D58" s="8">
        <f t="shared" si="6"/>
        <v>1.6036847499463334</v>
      </c>
      <c r="E58" s="8">
        <f t="shared" si="7"/>
        <v>-0.25916323590658313</v>
      </c>
      <c r="F58" s="8">
        <f t="shared" si="8"/>
        <v>0.71177818978717144</v>
      </c>
    </row>
    <row r="59" spans="1:6">
      <c r="A59">
        <f t="shared" si="9"/>
        <v>6.5</v>
      </c>
      <c r="B59" s="8">
        <f t="shared" si="0"/>
        <v>67.511356979797696</v>
      </c>
      <c r="C59" s="8">
        <f t="shared" si="5"/>
        <v>83.685238565313526</v>
      </c>
      <c r="D59" s="8">
        <f t="shared" si="6"/>
        <v>1.6134591509136309</v>
      </c>
      <c r="E59" s="8">
        <f t="shared" si="7"/>
        <v>-0.28777477061925716</v>
      </c>
      <c r="F59" s="8">
        <f t="shared" si="8"/>
        <v>0.69136103356545098</v>
      </c>
    </row>
    <row r="60" spans="1:6">
      <c r="A60">
        <f t="shared" si="9"/>
        <v>7</v>
      </c>
      <c r="B60" s="8">
        <f t="shared" si="0"/>
        <v>93.836403300252044</v>
      </c>
      <c r="C60" s="8">
        <f t="shared" si="5"/>
        <v>115.80989317426413</v>
      </c>
      <c r="D60" s="8">
        <f t="shared" si="6"/>
        <v>1.6205248226773228</v>
      </c>
      <c r="E60" s="8">
        <f t="shared" si="7"/>
        <v>-0.31653474935947606</v>
      </c>
      <c r="F60" s="8">
        <f t="shared" si="8"/>
        <v>0.67152153037866191</v>
      </c>
    </row>
    <row r="61" spans="1:6">
      <c r="A61">
        <f t="shared" si="9"/>
        <v>7.5</v>
      </c>
      <c r="B61" s="8">
        <f t="shared" si="0"/>
        <v>130.27667860352176</v>
      </c>
      <c r="C61" s="8">
        <f t="shared" si="5"/>
        <v>160.27823878408898</v>
      </c>
      <c r="D61" s="8">
        <f t="shared" si="6"/>
        <v>1.625631521681713</v>
      </c>
      <c r="E61" s="8">
        <f t="shared" si="7"/>
        <v>-0.34540202515026885</v>
      </c>
      <c r="F61" s="8">
        <f t="shared" si="8"/>
        <v>0.65224576112077592</v>
      </c>
    </row>
    <row r="62" spans="1:6">
      <c r="A62">
        <f t="shared" si="9"/>
        <v>8</v>
      </c>
      <c r="B62" s="8">
        <f t="shared" si="0"/>
        <v>180.7188942795614</v>
      </c>
      <c r="C62" s="8">
        <f t="shared" si="5"/>
        <v>221.83325891880759</v>
      </c>
      <c r="D62" s="8">
        <f t="shared" si="6"/>
        <v>1.62932190745758</v>
      </c>
      <c r="E62" s="8">
        <f t="shared" si="7"/>
        <v>-0.3743468447159119</v>
      </c>
      <c r="F62" s="8">
        <f t="shared" si="8"/>
        <v>0.63351939196566487</v>
      </c>
    </row>
    <row r="63" spans="1:6">
      <c r="A63">
        <f t="shared" si="9"/>
        <v>8.5</v>
      </c>
      <c r="B63" s="8">
        <f t="shared" si="0"/>
        <v>250.54320546087106</v>
      </c>
      <c r="C63" s="8">
        <f t="shared" si="5"/>
        <v>307.04039788078558</v>
      </c>
      <c r="D63" s="8">
        <f t="shared" si="6"/>
        <v>1.6319885408574109</v>
      </c>
      <c r="E63" s="8">
        <f t="shared" si="7"/>
        <v>-0.40334769916405799</v>
      </c>
      <c r="F63" s="8">
        <f t="shared" si="8"/>
        <v>0.61532793747694903</v>
      </c>
    </row>
    <row r="64" spans="1:6">
      <c r="A64">
        <f t="shared" si="9"/>
        <v>9</v>
      </c>
      <c r="B64" s="8">
        <f t="shared" si="0"/>
        <v>347.19705713258162</v>
      </c>
      <c r="C64" s="8">
        <f t="shared" si="5"/>
        <v>424.98782953130114</v>
      </c>
      <c r="D64" s="8">
        <f t="shared" si="6"/>
        <v>1.6339152936002366</v>
      </c>
      <c r="E64" s="8">
        <f t="shared" si="7"/>
        <v>-0.43238904247460591</v>
      </c>
      <c r="F64" s="8">
        <f t="shared" si="8"/>
        <v>0.59765693719455748</v>
      </c>
    </row>
    <row r="65" spans="1:6">
      <c r="A65">
        <f t="shared" si="9"/>
        <v>9.5</v>
      </c>
      <c r="B65" s="8">
        <f t="shared" si="0"/>
        <v>480.98952690316315</v>
      </c>
      <c r="C65" s="8">
        <f t="shared" si="5"/>
        <v>588.25579982614761</v>
      </c>
      <c r="D65" s="8">
        <f t="shared" si="6"/>
        <v>1.6353073851386224</v>
      </c>
      <c r="E65" s="8">
        <f t="shared" si="7"/>
        <v>-0.4614596399574174</v>
      </c>
      <c r="F65" s="8">
        <f t="shared" si="8"/>
        <v>0.58049207371890843</v>
      </c>
    </row>
    <row r="66" spans="1:6">
      <c r="A66">
        <f t="shared" si="9"/>
        <v>10</v>
      </c>
      <c r="B66" s="8">
        <f t="shared" si="0"/>
        <v>666.19088885314034</v>
      </c>
      <c r="C66" s="8">
        <f t="shared" si="5"/>
        <v>814.25843295836466</v>
      </c>
      <c r="D66" s="8">
        <f t="shared" si="6"/>
        <v>1.6363131455273601</v>
      </c>
      <c r="E66" s="8">
        <f t="shared" si="7"/>
        <v>-0.49055137340541816</v>
      </c>
      <c r="F66" s="8">
        <f t="shared" si="8"/>
        <v>0.56381925092002094</v>
      </c>
    </row>
    <row r="68" spans="1:6">
      <c r="A68" t="s">
        <v>12</v>
      </c>
      <c r="B68" s="8">
        <f>2.5*SUM(F47:F66)+100*F66</f>
        <v>94.043437813517173</v>
      </c>
      <c r="C68" s="4" t="s">
        <v>18</v>
      </c>
      <c r="D68" s="4"/>
      <c r="E68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8371-1E81-46FA-8728-4ABBC6F49ED8}">
  <dimension ref="A1:U34"/>
  <sheetViews>
    <sheetView topLeftCell="A8" zoomScaleNormal="100" workbookViewId="0">
      <selection sqref="A1:C32"/>
    </sheetView>
  </sheetViews>
  <sheetFormatPr defaultColWidth="8.4375" defaultRowHeight="13.9"/>
  <cols>
    <col min="1" max="1" width="8.4375" style="169"/>
    <col min="2" max="2" width="33.375" style="174" customWidth="1"/>
    <col min="3" max="3" width="14.75" style="202" customWidth="1"/>
    <col min="4" max="4" width="9.9375" style="169" customWidth="1"/>
    <col min="5" max="5" width="23.8125" style="169" customWidth="1"/>
    <col min="6" max="6" width="10.3125" style="169" customWidth="1"/>
    <col min="7" max="7" width="15.6875" style="169" customWidth="1"/>
    <col min="8" max="9" width="8.4375" style="169"/>
    <col min="10" max="10" width="17" style="169" customWidth="1"/>
    <col min="11" max="11" width="9.625" style="170" customWidth="1"/>
    <col min="12" max="12" width="9.625" style="169" customWidth="1"/>
    <col min="13" max="13" width="9.5" style="169" customWidth="1"/>
    <col min="14" max="14" width="8.6875" style="169" customWidth="1"/>
    <col min="15" max="15" width="8.4375" style="169"/>
    <col min="16" max="16" width="9.625" style="169" customWidth="1"/>
    <col min="17" max="17" width="9.5" style="169" customWidth="1"/>
    <col min="18" max="19" width="8.4375" style="169"/>
    <col min="20" max="20" width="11.25" style="169" customWidth="1"/>
    <col min="21" max="16384" width="8.4375" style="169"/>
  </cols>
  <sheetData>
    <row r="1" spans="1:11">
      <c r="A1" s="166" t="s">
        <v>122</v>
      </c>
      <c r="B1" s="167"/>
      <c r="C1" s="168"/>
    </row>
    <row r="2" spans="1:11">
      <c r="A2" s="171"/>
      <c r="B2" s="172" t="s">
        <v>123</v>
      </c>
      <c r="C2" s="173"/>
      <c r="E2" s="174"/>
    </row>
    <row r="3" spans="1:11">
      <c r="A3" s="171"/>
      <c r="B3" s="174" t="s">
        <v>124</v>
      </c>
      <c r="C3" s="175">
        <v>1.01</v>
      </c>
      <c r="E3" s="174"/>
    </row>
    <row r="4" spans="1:11">
      <c r="A4" s="171"/>
      <c r="B4" s="174" t="s">
        <v>125</v>
      </c>
      <c r="C4" s="176">
        <v>1</v>
      </c>
      <c r="E4" s="174"/>
    </row>
    <row r="5" spans="1:11">
      <c r="A5" s="171"/>
      <c r="C5" s="177"/>
      <c r="E5" s="174"/>
      <c r="F5" s="178"/>
    </row>
    <row r="6" spans="1:11">
      <c r="A6" s="171"/>
      <c r="B6" s="172" t="s">
        <v>126</v>
      </c>
      <c r="C6" s="179"/>
      <c r="E6" s="174"/>
      <c r="H6" s="180"/>
    </row>
    <row r="7" spans="1:11">
      <c r="A7" s="171"/>
      <c r="B7" s="181" t="s">
        <v>127</v>
      </c>
      <c r="C7" s="177">
        <v>1000</v>
      </c>
      <c r="E7" s="174"/>
    </row>
    <row r="8" spans="1:11">
      <c r="A8" s="171"/>
      <c r="B8" s="174" t="s">
        <v>71</v>
      </c>
      <c r="C8" s="177">
        <f>Rf</f>
        <v>0.03</v>
      </c>
    </row>
    <row r="9" spans="1:11">
      <c r="A9" s="171"/>
      <c r="B9" s="174" t="s">
        <v>70</v>
      </c>
      <c r="C9" s="177">
        <f>Sigma</f>
        <v>0.15</v>
      </c>
    </row>
    <row r="10" spans="1:11">
      <c r="A10" s="171"/>
      <c r="B10" s="174" t="s">
        <v>69</v>
      </c>
      <c r="C10" s="177">
        <f>Div</f>
        <v>0</v>
      </c>
      <c r="E10" s="174"/>
      <c r="J10" s="174"/>
    </row>
    <row r="11" spans="1:11" ht="15">
      <c r="A11" s="171"/>
      <c r="C11" s="177"/>
      <c r="F11" s="182"/>
    </row>
    <row r="12" spans="1:11" ht="15">
      <c r="A12" s="171"/>
      <c r="B12" s="183" t="s">
        <v>128</v>
      </c>
      <c r="C12" s="184">
        <f>(LN(1/StrikeRatio)+(Rf-Div+Sigma^2/2)*T)/Sigma/SQRT(T)</f>
        <v>0.20866446097887936</v>
      </c>
      <c r="F12" s="182"/>
      <c r="J12" s="174"/>
    </row>
    <row r="13" spans="1:11">
      <c r="A13" s="171"/>
      <c r="B13" s="185" t="s">
        <v>129</v>
      </c>
      <c r="C13" s="177">
        <f>_d1-Sigma*SQRT(T)</f>
        <v>5.8664460978879368E-2</v>
      </c>
      <c r="K13" s="186"/>
    </row>
    <row r="14" spans="1:11">
      <c r="A14" s="171"/>
      <c r="B14" s="185"/>
      <c r="C14" s="177"/>
      <c r="E14" s="174"/>
      <c r="K14" s="186"/>
    </row>
    <row r="15" spans="1:11">
      <c r="A15" s="171"/>
      <c r="B15" s="185" t="s">
        <v>57</v>
      </c>
      <c r="C15" s="177">
        <f>_xlfn.NORM.S.DIST(_d1,TRUE)</f>
        <v>0.58264490728904716</v>
      </c>
      <c r="E15" s="174"/>
      <c r="K15" s="187"/>
    </row>
    <row r="16" spans="1:11">
      <c r="A16" s="171"/>
      <c r="B16" s="185" t="s">
        <v>56</v>
      </c>
      <c r="C16" s="177">
        <f>_xlfn.NORM.S.DIST(_d2,TRUE)</f>
        <v>0.5233903167027627</v>
      </c>
    </row>
    <row r="17" spans="1:20">
      <c r="A17" s="171"/>
      <c r="B17" s="185" t="s">
        <v>55</v>
      </c>
      <c r="C17" s="177">
        <f>_xlfn.NORM.S.DIST(-C12,TRUE)</f>
        <v>0.41735509271095284</v>
      </c>
      <c r="E17" s="174"/>
      <c r="F17" s="178"/>
      <c r="G17" s="178"/>
      <c r="J17" s="174"/>
    </row>
    <row r="18" spans="1:20">
      <c r="A18" s="171"/>
      <c r="B18" s="188" t="s">
        <v>54</v>
      </c>
      <c r="C18" s="179">
        <f>_xlfn.NORM.S.DIST(-C13,TRUE)</f>
        <v>0.4766096832972373</v>
      </c>
      <c r="F18" s="170"/>
      <c r="G18" s="170"/>
      <c r="P18" s="174"/>
    </row>
    <row r="19" spans="1:20">
      <c r="A19" s="171"/>
      <c r="C19" s="177"/>
      <c r="F19" s="189"/>
      <c r="G19" s="189"/>
      <c r="N19" s="170"/>
    </row>
    <row r="20" spans="1:20">
      <c r="A20" s="171"/>
      <c r="B20" s="172" t="s">
        <v>130</v>
      </c>
      <c r="C20" s="179"/>
      <c r="F20" s="189"/>
      <c r="G20" s="189"/>
      <c r="K20" s="190"/>
      <c r="L20" s="190"/>
      <c r="M20" s="190"/>
      <c r="N20" s="170"/>
      <c r="P20" s="191"/>
      <c r="Q20" s="190"/>
      <c r="R20" s="190"/>
      <c r="S20" s="191"/>
      <c r="T20" s="192"/>
    </row>
    <row r="21" spans="1:20">
      <c r="A21" s="171"/>
      <c r="B21" s="174" t="s">
        <v>131</v>
      </c>
      <c r="C21" s="193">
        <f>StrikeRatio*EXP(-Rf*T)*N_minusd2-EXP(-Div*T)*N_minusd1</f>
        <v>4.9793883074837841E-2</v>
      </c>
      <c r="K21" s="190"/>
      <c r="L21" s="190"/>
      <c r="M21" s="190"/>
      <c r="N21" s="170"/>
      <c r="Q21" s="190"/>
      <c r="R21" s="190"/>
      <c r="T21" s="192"/>
    </row>
    <row r="22" spans="1:20">
      <c r="A22" s="171"/>
      <c r="B22" s="174" t="s">
        <v>132</v>
      </c>
      <c r="C22" s="194">
        <f>EXP(-Div*T)*N_d1- StrikeRatio*EXP(-Rf*T)*N_d2</f>
        <v>6.9643894190844602E-2</v>
      </c>
      <c r="K22" s="169"/>
      <c r="N22" s="195"/>
    </row>
    <row r="23" spans="1:20">
      <c r="A23" s="171"/>
      <c r="C23" s="177"/>
      <c r="F23" s="196"/>
    </row>
    <row r="24" spans="1:20">
      <c r="A24" s="171"/>
      <c r="B24" s="174" t="s">
        <v>133</v>
      </c>
      <c r="C24" s="177">
        <f>$C$7*C21</f>
        <v>49.793883074837844</v>
      </c>
      <c r="L24" s="192"/>
      <c r="P24" s="191"/>
    </row>
    <row r="25" spans="1:20">
      <c r="A25" s="171"/>
      <c r="B25" s="174" t="s">
        <v>134</v>
      </c>
      <c r="C25" s="177">
        <f>$C$7*C22</f>
        <v>69.643894190844605</v>
      </c>
      <c r="K25" s="197"/>
    </row>
    <row r="26" spans="1:20">
      <c r="A26" s="171"/>
      <c r="C26" s="177"/>
      <c r="K26" s="197"/>
    </row>
    <row r="27" spans="1:20">
      <c r="A27" s="171"/>
      <c r="B27" s="174" t="s">
        <v>135</v>
      </c>
      <c r="C27" s="193">
        <f xml:space="preserve"> - EXP(-Div*T)*N_minusd1</f>
        <v>-0.41735509271095284</v>
      </c>
      <c r="K27" s="197"/>
    </row>
    <row r="28" spans="1:20">
      <c r="A28" s="171"/>
      <c r="B28" s="174" t="s">
        <v>136</v>
      </c>
      <c r="C28" s="198">
        <f xml:space="preserve"> EXP(-Div*T)*N_d1</f>
        <v>0.58264490728904716</v>
      </c>
      <c r="M28" s="192"/>
      <c r="P28" s="191"/>
    </row>
    <row r="29" spans="1:20">
      <c r="A29" s="171"/>
      <c r="C29" s="177"/>
      <c r="J29" s="174"/>
    </row>
    <row r="30" spans="1:20">
      <c r="A30" s="171"/>
      <c r="B30" s="174" t="s">
        <v>137</v>
      </c>
      <c r="C30" s="177">
        <f>1/SQRT(2* 3.14159)*EXP(-0.5 * C12^2)</f>
        <v>0.39035115813326915</v>
      </c>
      <c r="K30" s="192"/>
      <c r="M30" s="196"/>
    </row>
    <row r="31" spans="1:20">
      <c r="A31" s="171"/>
      <c r="B31" s="174" t="s">
        <v>138</v>
      </c>
      <c r="C31" s="177">
        <f>C30/('[4]Main (QW and Grader)'!B9*C7*SQRT(T))</f>
        <v>2.6023410542217944E-3</v>
      </c>
    </row>
    <row r="32" spans="1:20" ht="14.25" thickBot="1">
      <c r="A32" s="199"/>
      <c r="B32" s="200" t="s">
        <v>139</v>
      </c>
      <c r="C32" s="201">
        <f>C7*SQRT(T)*C30</f>
        <v>390.35115813326917</v>
      </c>
    </row>
    <row r="34" spans="20:21">
      <c r="T34" s="174"/>
      <c r="U34" s="174"/>
    </row>
  </sheetData>
  <pageMargins left="0.7" right="0.7" top="0.75" bottom="0.75" header="0.3" footer="0.3"/>
  <pageSetup orientation="portrait" verticalDpi="4294967295" r:id="rId1"/>
  <headerFooter>
    <oddFooter>&amp;L&amp;1#&amp;"Calibri"&amp;10&amp;K000000Strictly confidential (C4)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FAA6-3356-460B-9163-CA64E758A9E8}">
  <dimension ref="A1:P67"/>
  <sheetViews>
    <sheetView tabSelected="1" topLeftCell="A48" workbookViewId="0">
      <selection activeCell="G64" sqref="G64"/>
    </sheetView>
  </sheetViews>
  <sheetFormatPr defaultColWidth="8.125" defaultRowHeight="13.5"/>
  <cols>
    <col min="1" max="1" width="23" style="11" customWidth="1"/>
    <col min="2" max="2" width="10.3125" style="11" customWidth="1"/>
    <col min="3" max="3" width="12.125" style="11" customWidth="1"/>
    <col min="4" max="4" width="16.6875" style="11" bestFit="1" customWidth="1"/>
    <col min="5" max="5" width="9.5" style="11" bestFit="1" customWidth="1"/>
    <col min="6" max="6" width="12.125" style="11" customWidth="1"/>
    <col min="7" max="7" width="21.625" style="11" bestFit="1" customWidth="1"/>
    <col min="8" max="8" width="12.625" style="11" bestFit="1" customWidth="1"/>
    <col min="9" max="9" width="15.125" style="11" customWidth="1"/>
    <col min="10" max="10" width="20" style="11" customWidth="1"/>
    <col min="11" max="11" width="9.1875" style="11" customWidth="1"/>
    <col min="12" max="12" width="8.8125" style="11" customWidth="1"/>
    <col min="13" max="13" width="9.5" style="11" customWidth="1"/>
    <col min="14" max="14" width="9.1875" style="11" customWidth="1"/>
    <col min="15" max="15" width="9" style="11" bestFit="1" customWidth="1"/>
    <col min="16" max="17" width="8.625" style="11" bestFit="1" customWidth="1"/>
    <col min="18" max="16384" width="8.125" style="11"/>
  </cols>
  <sheetData>
    <row r="1" spans="1:16" ht="41.65">
      <c r="A1" s="63" t="s">
        <v>81</v>
      </c>
      <c r="B1" s="66" t="s">
        <v>80</v>
      </c>
      <c r="C1" s="66" t="s">
        <v>79</v>
      </c>
    </row>
    <row r="2" spans="1:16" ht="13.9">
      <c r="A2" s="63" t="s">
        <v>78</v>
      </c>
      <c r="B2" s="58">
        <v>1000</v>
      </c>
      <c r="C2" s="58">
        <v>1000</v>
      </c>
    </row>
    <row r="3" spans="1:16" ht="13.9">
      <c r="A3" s="60" t="s">
        <v>77</v>
      </c>
      <c r="B3" s="65">
        <v>1</v>
      </c>
      <c r="C3" s="58">
        <v>1</v>
      </c>
    </row>
    <row r="4" spans="1:16" ht="13.9">
      <c r="A4" s="60" t="s">
        <v>76</v>
      </c>
      <c r="B4" s="62">
        <v>0.01</v>
      </c>
      <c r="C4" s="62">
        <v>0</v>
      </c>
    </row>
    <row r="5" spans="1:16" ht="13.9">
      <c r="A5" s="60" t="s">
        <v>75</v>
      </c>
      <c r="B5" s="62">
        <v>0.05</v>
      </c>
      <c r="C5" s="62">
        <v>0.1</v>
      </c>
    </row>
    <row r="6" spans="1:16" ht="13.9">
      <c r="A6" s="60" t="s">
        <v>74</v>
      </c>
      <c r="B6" s="64" t="s">
        <v>73</v>
      </c>
      <c r="C6" s="62">
        <v>-0.1</v>
      </c>
    </row>
    <row r="7" spans="1:16" ht="13.9">
      <c r="A7" s="63" t="s">
        <v>72</v>
      </c>
      <c r="B7" s="62"/>
      <c r="C7" s="58"/>
    </row>
    <row r="8" spans="1:16" ht="13.9">
      <c r="A8" s="60" t="s">
        <v>71</v>
      </c>
      <c r="B8" s="61">
        <v>0.03</v>
      </c>
      <c r="C8" s="58"/>
    </row>
    <row r="9" spans="1:16" ht="13.9">
      <c r="A9" s="60" t="s">
        <v>70</v>
      </c>
      <c r="B9" s="61">
        <v>0.15</v>
      </c>
      <c r="C9" s="58"/>
    </row>
    <row r="10" spans="1:16" ht="13.9">
      <c r="A10" s="60" t="s">
        <v>69</v>
      </c>
      <c r="B10" s="59">
        <v>0</v>
      </c>
      <c r="C10" s="58"/>
      <c r="E10" s="57"/>
      <c r="F10" s="55" t="e">
        <f t="shared" ref="F10:P10" si="0">F11=F12</f>
        <v>#REF!</v>
      </c>
      <c r="G10" s="55" t="e">
        <f t="shared" si="0"/>
        <v>#REF!</v>
      </c>
      <c r="H10" s="55" t="b">
        <f t="shared" si="0"/>
        <v>0</v>
      </c>
      <c r="I10" s="55" t="e">
        <f t="shared" si="0"/>
        <v>#REF!</v>
      </c>
      <c r="J10" s="55" t="e">
        <f t="shared" si="0"/>
        <v>#REF!</v>
      </c>
      <c r="K10" s="55" t="e">
        <f t="shared" si="0"/>
        <v>#REF!</v>
      </c>
      <c r="L10" s="55" t="e">
        <f t="shared" si="0"/>
        <v>#REF!</v>
      </c>
      <c r="M10" s="55" t="e">
        <f t="shared" si="0"/>
        <v>#REF!</v>
      </c>
      <c r="N10" s="55" t="e">
        <f t="shared" si="0"/>
        <v>#REF!</v>
      </c>
      <c r="O10" s="55" t="e">
        <f t="shared" si="0"/>
        <v>#REF!</v>
      </c>
      <c r="P10" s="55" t="e">
        <f t="shared" si="0"/>
        <v>#REF!</v>
      </c>
    </row>
    <row r="11" spans="1:16">
      <c r="E11" s="56" t="s">
        <v>68</v>
      </c>
      <c r="F11" s="55">
        <f t="shared" ref="F11:P11" si="1">F14</f>
        <v>0.20866446097887936</v>
      </c>
      <c r="G11" s="55">
        <f t="shared" si="1"/>
        <v>5.8664460978879368E-2</v>
      </c>
      <c r="H11" s="55">
        <f t="shared" si="1"/>
        <v>0.15</v>
      </c>
      <c r="I11" s="55">
        <f t="shared" si="1"/>
        <v>0.58264490728904716</v>
      </c>
      <c r="J11" s="55">
        <f t="shared" si="1"/>
        <v>0.5233903167027627</v>
      </c>
      <c r="K11" s="55">
        <f t="shared" si="1"/>
        <v>0.41735509271095284</v>
      </c>
      <c r="L11" s="55">
        <f t="shared" si="1"/>
        <v>0.4766096832972373</v>
      </c>
      <c r="M11" s="55">
        <f t="shared" si="1"/>
        <v>6.9643894190844602E-2</v>
      </c>
      <c r="N11" s="55">
        <f t="shared" si="1"/>
        <v>4.9793883074837841E-2</v>
      </c>
      <c r="O11" s="55">
        <f t="shared" si="1"/>
        <v>0.58264490728904716</v>
      </c>
      <c r="P11" s="55">
        <f t="shared" si="1"/>
        <v>-0.41735509271095284</v>
      </c>
    </row>
    <row r="12" spans="1:16" ht="13.9">
      <c r="A12" s="15" t="s">
        <v>67</v>
      </c>
      <c r="E12" s="56" t="s">
        <v>66</v>
      </c>
      <c r="F12" s="55" t="e">
        <f>_d1</f>
        <v>#REF!</v>
      </c>
      <c r="G12" s="55" t="e">
        <f>_d2</f>
        <v>#REF!</v>
      </c>
      <c r="H12" s="55"/>
      <c r="I12" s="55" t="e">
        <f>N_d1</f>
        <v>#REF!</v>
      </c>
      <c r="J12" s="55" t="e">
        <f>N_d2</f>
        <v>#REF!</v>
      </c>
      <c r="K12" s="55" t="e">
        <f>N_minusd1</f>
        <v>#REF!</v>
      </c>
      <c r="L12" s="55" t="e">
        <f>N_minusd2</f>
        <v>#REF!</v>
      </c>
      <c r="M12" s="55" t="e">
        <f>#REF!</f>
        <v>#REF!</v>
      </c>
      <c r="N12" s="55" t="e">
        <f>#REF!</f>
        <v>#REF!</v>
      </c>
      <c r="O12" s="55" t="e">
        <f>#REF!</f>
        <v>#REF!</v>
      </c>
      <c r="P12" s="55" t="e">
        <f>#REF!</f>
        <v>#REF!</v>
      </c>
    </row>
    <row r="13" spans="1:16" s="50" customFormat="1" ht="29.25" customHeight="1">
      <c r="A13" s="54" t="s">
        <v>65</v>
      </c>
      <c r="B13" s="52" t="s">
        <v>64</v>
      </c>
      <c r="C13" s="52" t="s">
        <v>63</v>
      </c>
      <c r="D13" s="52" t="s">
        <v>62</v>
      </c>
      <c r="E13" s="51" t="s">
        <v>61</v>
      </c>
      <c r="F13" s="52" t="s">
        <v>60</v>
      </c>
      <c r="G13" s="52" t="s">
        <v>59</v>
      </c>
      <c r="H13" s="52" t="s">
        <v>58</v>
      </c>
      <c r="I13" s="52" t="s">
        <v>57</v>
      </c>
      <c r="J13" s="52" t="s">
        <v>56</v>
      </c>
      <c r="K13" s="52" t="s">
        <v>55</v>
      </c>
      <c r="L13" s="52" t="s">
        <v>54</v>
      </c>
      <c r="M13" s="53" t="s">
        <v>53</v>
      </c>
      <c r="N13" s="52" t="s">
        <v>52</v>
      </c>
      <c r="O13" s="52" t="s">
        <v>51</v>
      </c>
      <c r="P13" s="51" t="s">
        <v>50</v>
      </c>
    </row>
    <row r="14" spans="1:16">
      <c r="A14" s="163" t="s">
        <v>49</v>
      </c>
      <c r="B14" s="45">
        <v>0</v>
      </c>
      <c r="C14" s="45">
        <f t="shared" ref="C14:C20" si="2">$B$3-B14</f>
        <v>1</v>
      </c>
      <c r="D14" s="45">
        <v>1000</v>
      </c>
      <c r="E14" s="44">
        <f>(1+B4)^B3</f>
        <v>1.01</v>
      </c>
      <c r="F14" s="41">
        <f t="shared" ref="F14:F20" si="3">(LN(1/E14) + (Rf - Div + 0.5*H14^2)*C14) /(H14*SQRT(C14))</f>
        <v>0.20866446097887936</v>
      </c>
      <c r="G14" s="41">
        <f t="shared" ref="G14:G20" si="4">F14-H14*SQRT(C14)</f>
        <v>5.8664460978879368E-2</v>
      </c>
      <c r="H14" s="41">
        <f t="shared" ref="H14:H20" si="5">Sigma</f>
        <v>0.15</v>
      </c>
      <c r="I14" s="43">
        <f t="shared" ref="I14:J20" si="6">_xlfn.NORM.S.DIST(F14,TRUE)</f>
        <v>0.58264490728904716</v>
      </c>
      <c r="J14" s="41">
        <f t="shared" si="6"/>
        <v>0.5233903167027627</v>
      </c>
      <c r="K14" s="41">
        <f t="shared" ref="K14:L20" si="7">_xlfn.NORM.S.DIST(-F14,TRUE)</f>
        <v>0.41735509271095284</v>
      </c>
      <c r="L14" s="41">
        <f t="shared" si="7"/>
        <v>0.4766096832972373</v>
      </c>
      <c r="M14" s="42">
        <f t="shared" ref="M14:M20" si="8">EXP(-Div*C14)*I14 - E14 *EXP(-Rf*C14)*J14</f>
        <v>6.9643894190844602E-2</v>
      </c>
      <c r="N14" s="41">
        <f t="shared" ref="N14:N20" si="9" xml:space="preserve"> E14 *EXP(-Rf*C14)*L14 - EXP(-Div*C14)*K14</f>
        <v>4.9793883074837841E-2</v>
      </c>
      <c r="O14" s="41">
        <f t="shared" ref="O14:O20" si="10" xml:space="preserve"> EXP(-Div*C14)*I14</f>
        <v>0.58264490728904716</v>
      </c>
      <c r="P14" s="40">
        <f t="shared" ref="P14:P20" si="11" xml:space="preserve"> - EXP(-Div*C14)*K14</f>
        <v>-0.41735509271095284</v>
      </c>
    </row>
    <row r="15" spans="1:16">
      <c r="A15" s="164"/>
      <c r="B15" s="34">
        <v>0</v>
      </c>
      <c r="C15" s="34">
        <f t="shared" si="2"/>
        <v>1</v>
      </c>
      <c r="D15" s="34">
        <v>1000</v>
      </c>
      <c r="E15" s="33">
        <f>(1+B5)^B3</f>
        <v>1.05</v>
      </c>
      <c r="F15" s="30">
        <f t="shared" si="3"/>
        <v>-5.0267761129547076E-2</v>
      </c>
      <c r="G15" s="30">
        <f t="shared" si="4"/>
        <v>-0.20026776112954708</v>
      </c>
      <c r="H15" s="30">
        <f t="shared" si="5"/>
        <v>0.15</v>
      </c>
      <c r="I15" s="32">
        <f t="shared" si="6"/>
        <v>0.4799545070845711</v>
      </c>
      <c r="J15" s="30">
        <f t="shared" si="6"/>
        <v>0.42063558733227863</v>
      </c>
      <c r="K15" s="30">
        <f t="shared" si="7"/>
        <v>0.5200454929154289</v>
      </c>
      <c r="L15" s="30">
        <f t="shared" si="7"/>
        <v>0.57936441266772132</v>
      </c>
      <c r="M15" s="31">
        <f t="shared" si="8"/>
        <v>5.1340383757499664E-2</v>
      </c>
      <c r="N15" s="30">
        <f t="shared" si="9"/>
        <v>7.0308193983433243E-2</v>
      </c>
      <c r="O15" s="30">
        <f t="shared" si="10"/>
        <v>0.4799545070845711</v>
      </c>
      <c r="P15" s="29">
        <f t="shared" si="11"/>
        <v>-0.5200454929154289</v>
      </c>
    </row>
    <row r="16" spans="1:16">
      <c r="A16" s="163" t="s">
        <v>48</v>
      </c>
      <c r="B16" s="49">
        <v>0</v>
      </c>
      <c r="C16" s="45">
        <f t="shared" si="2"/>
        <v>1</v>
      </c>
      <c r="D16" s="22">
        <v>1000</v>
      </c>
      <c r="E16" s="44">
        <f>D14*E14/D16</f>
        <v>1.01</v>
      </c>
      <c r="F16" s="41">
        <f t="shared" si="3"/>
        <v>0.20866446097887936</v>
      </c>
      <c r="G16" s="41">
        <f t="shared" si="4"/>
        <v>5.8664460978879368E-2</v>
      </c>
      <c r="H16" s="41">
        <f t="shared" si="5"/>
        <v>0.15</v>
      </c>
      <c r="I16" s="43">
        <f t="shared" si="6"/>
        <v>0.58264490728904716</v>
      </c>
      <c r="J16" s="41">
        <f t="shared" si="6"/>
        <v>0.5233903167027627</v>
      </c>
      <c r="K16" s="41">
        <f t="shared" si="7"/>
        <v>0.41735509271095284</v>
      </c>
      <c r="L16" s="41">
        <f t="shared" si="7"/>
        <v>0.4766096832972373</v>
      </c>
      <c r="M16" s="42">
        <f t="shared" si="8"/>
        <v>6.9643894190844602E-2</v>
      </c>
      <c r="N16" s="41">
        <f t="shared" si="9"/>
        <v>4.9793883074837841E-2</v>
      </c>
      <c r="O16" s="41">
        <f t="shared" si="10"/>
        <v>0.58264490728904716</v>
      </c>
      <c r="P16" s="48">
        <f t="shared" si="11"/>
        <v>-0.41735509271095284</v>
      </c>
    </row>
    <row r="17" spans="1:16">
      <c r="A17" s="164"/>
      <c r="B17" s="47">
        <v>0</v>
      </c>
      <c r="C17" s="34">
        <f t="shared" si="2"/>
        <v>1</v>
      </c>
      <c r="D17" s="22">
        <v>1000</v>
      </c>
      <c r="E17" s="33">
        <f>D15*E15/D17</f>
        <v>1.05</v>
      </c>
      <c r="F17" s="30">
        <f t="shared" si="3"/>
        <v>-5.0267761129547076E-2</v>
      </c>
      <c r="G17" s="30">
        <f t="shared" si="4"/>
        <v>-0.20026776112954708</v>
      </c>
      <c r="H17" s="30">
        <f t="shared" si="5"/>
        <v>0.15</v>
      </c>
      <c r="I17" s="32">
        <f t="shared" si="6"/>
        <v>0.4799545070845711</v>
      </c>
      <c r="J17" s="30">
        <f t="shared" si="6"/>
        <v>0.42063558733227863</v>
      </c>
      <c r="K17" s="30">
        <f t="shared" si="7"/>
        <v>0.5200454929154289</v>
      </c>
      <c r="L17" s="30">
        <f t="shared" si="7"/>
        <v>0.57936441266772132</v>
      </c>
      <c r="M17" s="31">
        <f t="shared" si="8"/>
        <v>5.1340383757499664E-2</v>
      </c>
      <c r="N17" s="30">
        <f t="shared" si="9"/>
        <v>7.0308193983433243E-2</v>
      </c>
      <c r="O17" s="46">
        <f t="shared" si="10"/>
        <v>0.4799545070845711</v>
      </c>
      <c r="P17" s="29">
        <f t="shared" si="11"/>
        <v>-0.5200454929154289</v>
      </c>
    </row>
    <row r="18" spans="1:16">
      <c r="A18" s="163" t="s">
        <v>47</v>
      </c>
      <c r="B18" s="45">
        <v>0</v>
      </c>
      <c r="C18" s="45">
        <f t="shared" si="2"/>
        <v>1</v>
      </c>
      <c r="D18" s="45">
        <v>1000</v>
      </c>
      <c r="E18" s="44">
        <f>(1+C4)^C3</f>
        <v>1</v>
      </c>
      <c r="F18" s="41">
        <f t="shared" si="3"/>
        <v>0.27499999999999997</v>
      </c>
      <c r="G18" s="41">
        <f t="shared" si="4"/>
        <v>0.12499999999999997</v>
      </c>
      <c r="H18" s="41">
        <f t="shared" si="5"/>
        <v>0.15</v>
      </c>
      <c r="I18" s="43">
        <f t="shared" si="6"/>
        <v>0.60834188084639473</v>
      </c>
      <c r="J18" s="41">
        <f t="shared" si="6"/>
        <v>0.54973822483011292</v>
      </c>
      <c r="K18" s="41">
        <f t="shared" si="7"/>
        <v>0.39165811915360521</v>
      </c>
      <c r="L18" s="41">
        <f t="shared" si="7"/>
        <v>0.45026177516988708</v>
      </c>
      <c r="M18" s="42">
        <f t="shared" si="8"/>
        <v>7.4850875939126094E-2</v>
      </c>
      <c r="N18" s="41">
        <f t="shared" si="9"/>
        <v>4.5296409487634304E-2</v>
      </c>
      <c r="O18" s="41">
        <f t="shared" si="10"/>
        <v>0.60834188084639473</v>
      </c>
      <c r="P18" s="40">
        <f t="shared" si="11"/>
        <v>-0.39165811915360521</v>
      </c>
    </row>
    <row r="19" spans="1:16">
      <c r="A19" s="165"/>
      <c r="B19" s="11">
        <v>0</v>
      </c>
      <c r="C19" s="11">
        <f t="shared" si="2"/>
        <v>1</v>
      </c>
      <c r="D19" s="11">
        <v>1000</v>
      </c>
      <c r="E19" s="39">
        <f>(1+C5)^C3</f>
        <v>1.1000000000000001</v>
      </c>
      <c r="F19" s="36">
        <f t="shared" si="3"/>
        <v>-0.36040119869549936</v>
      </c>
      <c r="G19" s="36">
        <f t="shared" si="4"/>
        <v>-0.51040119869549938</v>
      </c>
      <c r="H19" s="36">
        <f t="shared" si="5"/>
        <v>0.15</v>
      </c>
      <c r="I19" s="38">
        <f t="shared" si="6"/>
        <v>0.35927356517166575</v>
      </c>
      <c r="J19" s="36">
        <f t="shared" si="6"/>
        <v>0.3048852086332694</v>
      </c>
      <c r="K19" s="36">
        <f t="shared" si="7"/>
        <v>0.64072643482833425</v>
      </c>
      <c r="L19" s="36">
        <f t="shared" si="7"/>
        <v>0.6951147913667306</v>
      </c>
      <c r="M19" s="37">
        <f t="shared" si="8"/>
        <v>3.3811627312188286E-2</v>
      </c>
      <c r="N19" s="36">
        <f t="shared" si="9"/>
        <v>0.10130171421554723</v>
      </c>
      <c r="O19" s="36">
        <f t="shared" si="10"/>
        <v>0.35927356517166575</v>
      </c>
      <c r="P19" s="35">
        <f t="shared" si="11"/>
        <v>-0.64072643482833425</v>
      </c>
    </row>
    <row r="20" spans="1:16">
      <c r="A20" s="164"/>
      <c r="B20" s="34">
        <v>0</v>
      </c>
      <c r="C20" s="34">
        <f t="shared" si="2"/>
        <v>1</v>
      </c>
      <c r="D20" s="34">
        <v>1000</v>
      </c>
      <c r="E20" s="33">
        <f>(1+C6)^C3</f>
        <v>0.9</v>
      </c>
      <c r="F20" s="30">
        <f t="shared" si="3"/>
        <v>0.97740343771884231</v>
      </c>
      <c r="G20" s="30">
        <f t="shared" si="4"/>
        <v>0.82740343771884228</v>
      </c>
      <c r="H20" s="30">
        <f t="shared" si="5"/>
        <v>0.15</v>
      </c>
      <c r="I20" s="32">
        <f t="shared" si="6"/>
        <v>0.83581526911661574</v>
      </c>
      <c r="J20" s="30">
        <f t="shared" si="6"/>
        <v>0.79599578362507806</v>
      </c>
      <c r="K20" s="30">
        <f t="shared" si="7"/>
        <v>0.16418473088338428</v>
      </c>
      <c r="L20" s="30">
        <f t="shared" si="7"/>
        <v>0.20400421637492197</v>
      </c>
      <c r="M20" s="31">
        <f t="shared" si="8"/>
        <v>0.14059177146845425</v>
      </c>
      <c r="N20" s="30">
        <f t="shared" si="9"/>
        <v>1.399275166211153E-2</v>
      </c>
      <c r="O20" s="30">
        <f t="shared" si="10"/>
        <v>0.83581526911661574</v>
      </c>
      <c r="P20" s="29">
        <f t="shared" si="11"/>
        <v>-0.16418473088338428</v>
      </c>
    </row>
    <row r="21" spans="1:16">
      <c r="I21" s="12"/>
    </row>
    <row r="22" spans="1:16" ht="13.9">
      <c r="B22" s="15" t="s">
        <v>46</v>
      </c>
    </row>
    <row r="23" spans="1:16">
      <c r="C23" s="12"/>
    </row>
    <row r="24" spans="1:16" ht="13.9">
      <c r="C24" s="15" t="s">
        <v>33</v>
      </c>
      <c r="D24" s="16" t="s">
        <v>32</v>
      </c>
      <c r="E24" s="15" t="s">
        <v>31</v>
      </c>
      <c r="F24" s="15" t="s">
        <v>30</v>
      </c>
      <c r="G24" s="15" t="s">
        <v>29</v>
      </c>
    </row>
    <row r="25" spans="1:16">
      <c r="C25" s="11" t="s">
        <v>27</v>
      </c>
      <c r="D25" s="12" t="s">
        <v>28</v>
      </c>
      <c r="E25" s="11">
        <v>1010</v>
      </c>
      <c r="F25" s="11">
        <v>1</v>
      </c>
      <c r="G25" s="13">
        <f>M14*D14</f>
        <v>69.643894190844605</v>
      </c>
      <c r="H25" s="17">
        <f>O14</f>
        <v>0.58264490728904716</v>
      </c>
    </row>
    <row r="26" spans="1:16">
      <c r="C26" s="11" t="s">
        <v>27</v>
      </c>
      <c r="D26" s="12" t="s">
        <v>25</v>
      </c>
      <c r="E26" s="11">
        <v>1050</v>
      </c>
      <c r="F26" s="11">
        <v>1</v>
      </c>
      <c r="G26" s="13">
        <f>D15*M15</f>
        <v>51.340383757499666</v>
      </c>
      <c r="H26" s="17">
        <f>O15</f>
        <v>0.4799545070845711</v>
      </c>
    </row>
    <row r="27" spans="1:16" ht="13.9">
      <c r="C27" s="12"/>
      <c r="F27" s="25" t="s">
        <v>41</v>
      </c>
      <c r="G27" s="13">
        <f>G25-G26</f>
        <v>18.30351043334494</v>
      </c>
      <c r="H27" s="17">
        <f>H25-H26</f>
        <v>0.10269040020447606</v>
      </c>
      <c r="I27" s="19"/>
    </row>
    <row r="28" spans="1:16">
      <c r="G28" s="13"/>
    </row>
    <row r="29" spans="1:16">
      <c r="C29" s="12"/>
      <c r="F29" s="18" t="s">
        <v>23</v>
      </c>
      <c r="G29" s="13">
        <f>B2*(1+B4)^B3</f>
        <v>1010</v>
      </c>
    </row>
    <row r="30" spans="1:16" ht="13.9">
      <c r="F30" s="14" t="s">
        <v>21</v>
      </c>
      <c r="G30" s="13">
        <f>G29*EXP(-Rf*B3)</f>
        <v>980.14998888399327</v>
      </c>
    </row>
    <row r="31" spans="1:16">
      <c r="G31" s="13"/>
    </row>
    <row r="32" spans="1:16">
      <c r="C32" s="12"/>
      <c r="F32" s="18" t="s">
        <v>20</v>
      </c>
      <c r="G32" s="13">
        <f>B2-G30</f>
        <v>19.850011116006726</v>
      </c>
    </row>
    <row r="33" spans="2:10" ht="13.9">
      <c r="F33" s="25" t="s">
        <v>45</v>
      </c>
      <c r="G33" s="13">
        <f>G32-G27</f>
        <v>1.5465006826617866</v>
      </c>
      <c r="H33" s="11" t="s">
        <v>39</v>
      </c>
    </row>
    <row r="35" spans="2:10">
      <c r="C35" s="12"/>
    </row>
    <row r="36" spans="2:10" ht="13.9">
      <c r="B36" s="15" t="s">
        <v>44</v>
      </c>
      <c r="C36" s="12"/>
    </row>
    <row r="37" spans="2:10">
      <c r="B37" s="11" t="s">
        <v>43</v>
      </c>
      <c r="C37" s="12" t="s">
        <v>42</v>
      </c>
    </row>
    <row r="38" spans="2:10">
      <c r="C38" s="12"/>
    </row>
    <row r="39" spans="2:10" ht="13.9">
      <c r="C39" s="15" t="s">
        <v>33</v>
      </c>
      <c r="D39" s="16" t="s">
        <v>32</v>
      </c>
      <c r="E39" s="15" t="s">
        <v>31</v>
      </c>
      <c r="F39" s="15" t="s">
        <v>30</v>
      </c>
      <c r="G39" s="15" t="s">
        <v>29</v>
      </c>
    </row>
    <row r="40" spans="2:10">
      <c r="C40" s="11" t="s">
        <v>26</v>
      </c>
      <c r="D40" s="12" t="s">
        <v>28</v>
      </c>
      <c r="E40" s="11">
        <v>1010</v>
      </c>
      <c r="F40" s="27">
        <v>1</v>
      </c>
      <c r="G40" s="19">
        <f>N14*D14</f>
        <v>49.793883074837844</v>
      </c>
      <c r="H40" s="28"/>
      <c r="I40" s="19"/>
    </row>
    <row r="41" spans="2:10">
      <c r="C41" s="11" t="s">
        <v>27</v>
      </c>
      <c r="D41" s="12" t="s">
        <v>25</v>
      </c>
      <c r="E41" s="11">
        <v>1050</v>
      </c>
      <c r="F41" s="27">
        <v>1</v>
      </c>
      <c r="G41" s="19">
        <f>M15*D15</f>
        <v>51.340383757499666</v>
      </c>
      <c r="H41" s="17"/>
      <c r="I41" s="17"/>
    </row>
    <row r="42" spans="2:10" ht="13.9">
      <c r="C42" s="12"/>
      <c r="F42" s="25" t="s">
        <v>41</v>
      </c>
      <c r="G42" s="19">
        <f>G40-G41</f>
        <v>-1.5465006826618222</v>
      </c>
      <c r="H42" s="17"/>
      <c r="J42" s="26"/>
    </row>
    <row r="43" spans="2:10">
      <c r="C43" s="12"/>
    </row>
    <row r="44" spans="2:10" ht="13.9">
      <c r="F44" s="25" t="s">
        <v>40</v>
      </c>
      <c r="G44" s="19">
        <f>-G42</f>
        <v>1.5465006826618222</v>
      </c>
      <c r="H44" s="11" t="s">
        <v>39</v>
      </c>
    </row>
    <row r="45" spans="2:10" ht="13.9">
      <c r="F45" s="25"/>
      <c r="G45" s="19"/>
    </row>
    <row r="46" spans="2:10" ht="13.9">
      <c r="B46" s="15" t="s">
        <v>38</v>
      </c>
      <c r="C46" s="24"/>
      <c r="D46" s="23"/>
    </row>
    <row r="47" spans="2:10" ht="13.9">
      <c r="C47" s="15" t="s">
        <v>33</v>
      </c>
      <c r="D47" s="16" t="s">
        <v>32</v>
      </c>
      <c r="E47" s="15" t="s">
        <v>31</v>
      </c>
      <c r="F47" s="15" t="s">
        <v>37</v>
      </c>
    </row>
    <row r="48" spans="2:10">
      <c r="C48" s="11" t="s">
        <v>36</v>
      </c>
      <c r="D48" s="12" t="s">
        <v>28</v>
      </c>
      <c r="F48" s="11">
        <v>1</v>
      </c>
    </row>
    <row r="49" spans="2:10">
      <c r="C49" s="11" t="s">
        <v>26</v>
      </c>
      <c r="D49" s="12" t="s">
        <v>28</v>
      </c>
      <c r="E49" s="11">
        <v>1010</v>
      </c>
      <c r="F49" s="22">
        <f>ROUND(P16,4)</f>
        <v>-0.41739999999999999</v>
      </c>
      <c r="H49" s="19"/>
      <c r="I49" s="19"/>
      <c r="J49" s="19"/>
    </row>
    <row r="50" spans="2:10">
      <c r="C50" s="11" t="s">
        <v>27</v>
      </c>
      <c r="D50" s="12" t="s">
        <v>25</v>
      </c>
      <c r="E50" s="11">
        <v>1050</v>
      </c>
      <c r="F50" s="21">
        <f>ROUND(O17,4)</f>
        <v>0.48</v>
      </c>
      <c r="H50" s="19"/>
      <c r="I50" s="19"/>
      <c r="J50" s="19"/>
    </row>
    <row r="51" spans="2:10" ht="13.9">
      <c r="E51" s="14" t="s">
        <v>35</v>
      </c>
      <c r="F51" s="20">
        <f>F48+F49-F50</f>
        <v>0.10260000000000002</v>
      </c>
      <c r="G51" s="11">
        <f>1 - 0.4174 - 0.48</f>
        <v>0.10260000000000002</v>
      </c>
      <c r="H51" s="19"/>
      <c r="I51" s="14"/>
      <c r="J51" s="19"/>
    </row>
    <row r="52" spans="2:10">
      <c r="E52" s="18"/>
      <c r="F52" s="17"/>
      <c r="H52" s="12"/>
    </row>
    <row r="53" spans="2:10" ht="13.9">
      <c r="H53" s="12"/>
      <c r="I53" s="14"/>
      <c r="J53" s="13"/>
    </row>
    <row r="54" spans="2:10" ht="13.9">
      <c r="B54" s="15" t="s">
        <v>34</v>
      </c>
      <c r="H54" s="12"/>
    </row>
    <row r="55" spans="2:10" ht="13.9">
      <c r="C55" s="15" t="s">
        <v>33</v>
      </c>
      <c r="D55" s="16" t="s">
        <v>32</v>
      </c>
      <c r="E55" s="15" t="s">
        <v>31</v>
      </c>
      <c r="F55" s="15" t="s">
        <v>30</v>
      </c>
      <c r="G55" s="15" t="s">
        <v>29</v>
      </c>
      <c r="H55" s="12"/>
    </row>
    <row r="56" spans="2:10">
      <c r="C56" s="11" t="s">
        <v>27</v>
      </c>
      <c r="D56" s="12" t="s">
        <v>28</v>
      </c>
      <c r="E56" s="11">
        <v>1000</v>
      </c>
      <c r="F56" s="11">
        <v>1</v>
      </c>
      <c r="G56" s="13">
        <f>M18*D18</f>
        <v>74.850875939126098</v>
      </c>
      <c r="H56" s="12"/>
    </row>
    <row r="57" spans="2:10">
      <c r="C57" s="11" t="s">
        <v>27</v>
      </c>
      <c r="D57" s="12" t="s">
        <v>25</v>
      </c>
      <c r="E57" s="11">
        <f>1000*E19</f>
        <v>1100</v>
      </c>
      <c r="F57" s="11">
        <v>1</v>
      </c>
      <c r="G57" s="13">
        <f>M19*D19</f>
        <v>33.811627312188286</v>
      </c>
      <c r="H57" s="12"/>
    </row>
    <row r="58" spans="2:10">
      <c r="C58" s="11" t="s">
        <v>26</v>
      </c>
      <c r="D58" s="11" t="s">
        <v>25</v>
      </c>
      <c r="E58" s="11">
        <f>1000*E20</f>
        <v>900</v>
      </c>
      <c r="F58" s="11">
        <v>1</v>
      </c>
      <c r="G58" s="13">
        <f>N20*D20</f>
        <v>13.99275166211153</v>
      </c>
      <c r="H58" s="12"/>
    </row>
    <row r="59" spans="2:10" ht="13.9">
      <c r="F59" s="14" t="s">
        <v>24</v>
      </c>
      <c r="G59" s="13">
        <f>G56-G57-G58</f>
        <v>27.046496964826282</v>
      </c>
      <c r="H59" s="12"/>
    </row>
    <row r="60" spans="2:10">
      <c r="H60" s="12"/>
    </row>
    <row r="61" spans="2:10" ht="13.9">
      <c r="F61" s="14" t="s">
        <v>23</v>
      </c>
      <c r="G61" s="13">
        <v>1000</v>
      </c>
      <c r="H61" s="12" t="s">
        <v>22</v>
      </c>
    </row>
    <row r="62" spans="2:10" ht="13.9">
      <c r="F62" s="14" t="s">
        <v>21</v>
      </c>
      <c r="G62" s="203">
        <f>G61*EXP(-Rf*[4]BS!C4)</f>
        <v>970.44553354850814</v>
      </c>
      <c r="H62" s="12"/>
    </row>
    <row r="63" spans="2:10">
      <c r="G63" s="13"/>
      <c r="H63" s="12"/>
    </row>
    <row r="64" spans="2:10" ht="13.9">
      <c r="F64" s="14" t="s">
        <v>20</v>
      </c>
      <c r="G64" s="13">
        <f>1000-G62</f>
        <v>29.554466451491862</v>
      </c>
      <c r="H64" s="12" t="s">
        <v>19</v>
      </c>
    </row>
    <row r="65" spans="8:9">
      <c r="H65" s="12"/>
    </row>
    <row r="66" spans="8:9">
      <c r="I66" s="12"/>
    </row>
    <row r="67" spans="8:9">
      <c r="I67" s="12"/>
    </row>
  </sheetData>
  <mergeCells count="3">
    <mergeCell ref="A14:A15"/>
    <mergeCell ref="A16:A1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F5E3-A1C5-4827-8B0C-379A56DE6513}">
  <dimension ref="A1:N189"/>
  <sheetViews>
    <sheetView showGridLines="0" zoomScale="85" zoomScaleNormal="85" workbookViewId="0">
      <selection activeCell="C173" sqref="C173"/>
    </sheetView>
  </sheetViews>
  <sheetFormatPr defaultColWidth="9" defaultRowHeight="14.25"/>
  <cols>
    <col min="1" max="1" width="9" style="67"/>
    <col min="2" max="2" width="29.5" style="67" bestFit="1" customWidth="1"/>
    <col min="3" max="3" width="12.875" style="67" customWidth="1"/>
    <col min="4" max="4" width="9" style="67" customWidth="1"/>
    <col min="5" max="5" width="13.5" style="67" customWidth="1"/>
    <col min="6" max="6" width="10.5" style="67" customWidth="1"/>
    <col min="7" max="7" width="12.875" style="67" customWidth="1"/>
    <col min="8" max="8" width="10" style="67" customWidth="1"/>
    <col min="9" max="9" width="9.625" style="67" bestFit="1" customWidth="1"/>
    <col min="10" max="10" width="15.125" style="67" customWidth="1"/>
    <col min="11" max="16384" width="9" style="67"/>
  </cols>
  <sheetData>
    <row r="1" spans="1:1" ht="17.25">
      <c r="A1" s="10" t="s">
        <v>112</v>
      </c>
    </row>
    <row r="35" spans="2:14" ht="14.65" thickBot="1">
      <c r="B35" s="4" t="s">
        <v>111</v>
      </c>
      <c r="C35" s="5"/>
      <c r="D35" s="11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2:14" ht="16.149999999999999" thickBot="1">
      <c r="B36" t="s">
        <v>110</v>
      </c>
      <c r="C36"/>
      <c r="D36" s="116">
        <f>G57</f>
        <v>96.554861737308826</v>
      </c>
      <c r="E36"/>
      <c r="F36"/>
      <c r="G36"/>
      <c r="H36"/>
      <c r="I36"/>
      <c r="J36"/>
      <c r="K36"/>
      <c r="L36"/>
      <c r="M36"/>
      <c r="N36"/>
    </row>
    <row r="37" spans="2:14" ht="16.149999999999999" thickBot="1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ht="16.149999999999999" thickBot="1">
      <c r="B38" t="s">
        <v>109</v>
      </c>
      <c r="C38"/>
      <c r="D38" s="116">
        <f>G66</f>
        <v>119.07918134093323</v>
      </c>
      <c r="E38"/>
      <c r="F38"/>
      <c r="G38"/>
      <c r="H38"/>
      <c r="I38"/>
      <c r="J38"/>
      <c r="K38"/>
      <c r="L38"/>
      <c r="M38"/>
      <c r="N38"/>
    </row>
    <row r="39" spans="2:14"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</row>
    <row r="40" spans="2:14">
      <c r="B40" s="4" t="s">
        <v>98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2" spans="2:14" ht="14.65" thickBot="1">
      <c r="B42" s="92" t="s">
        <v>97</v>
      </c>
    </row>
    <row r="43" spans="2:14" ht="16.149999999999999">
      <c r="B43" s="108" t="s">
        <v>95</v>
      </c>
      <c r="C43" s="107">
        <v>100</v>
      </c>
      <c r="H43" s="106"/>
      <c r="K43" s="109"/>
      <c r="L43" s="104" t="s">
        <v>96</v>
      </c>
    </row>
    <row r="44" spans="2:14">
      <c r="B44" s="99" t="s">
        <v>93</v>
      </c>
      <c r="C44" s="103">
        <v>0</v>
      </c>
      <c r="H44" s="90"/>
      <c r="K44" s="105"/>
      <c r="L44" s="104" t="s">
        <v>94</v>
      </c>
    </row>
    <row r="45" spans="2:14" ht="15.75">
      <c r="B45" s="99" t="s">
        <v>92</v>
      </c>
      <c r="C45" s="98">
        <v>0.2</v>
      </c>
      <c r="G45" s="102"/>
    </row>
    <row r="46" spans="2:14" ht="15.75">
      <c r="B46" s="99" t="s">
        <v>91</v>
      </c>
      <c r="C46" s="100">
        <v>5</v>
      </c>
      <c r="G46" s="69"/>
      <c r="I46" s="94"/>
      <c r="J46" s="94"/>
    </row>
    <row r="47" spans="2:14" ht="15.75">
      <c r="B47" s="99" t="s">
        <v>90</v>
      </c>
      <c r="C47" s="98">
        <v>0.05</v>
      </c>
      <c r="I47" s="94"/>
    </row>
    <row r="48" spans="2:14" ht="14.65" thickBot="1">
      <c r="B48" s="97" t="s">
        <v>89</v>
      </c>
      <c r="C48" s="96">
        <v>0.02</v>
      </c>
      <c r="D48" s="93"/>
    </row>
    <row r="49" spans="2:9">
      <c r="C49" s="94"/>
      <c r="D49" s="93"/>
    </row>
    <row r="50" spans="2:9">
      <c r="C50" s="94"/>
    </row>
    <row r="51" spans="2:9">
      <c r="C51" s="94"/>
      <c r="D51" s="93"/>
    </row>
    <row r="52" spans="2:9">
      <c r="B52" s="92" t="s">
        <v>108</v>
      </c>
    </row>
    <row r="53" spans="2:9">
      <c r="B53" s="89"/>
      <c r="C53" s="88"/>
      <c r="D53" s="88"/>
      <c r="E53" s="88"/>
      <c r="F53" s="88"/>
      <c r="G53" s="88"/>
      <c r="H53" s="88"/>
      <c r="I53" s="87"/>
    </row>
    <row r="54" spans="2:9" ht="15.75">
      <c r="B54" s="77" t="s">
        <v>103</v>
      </c>
      <c r="C54" s="85">
        <v>0.6</v>
      </c>
      <c r="G54" s="82">
        <f>EXP(((C54-1)*$C$47+0.5*C54*(C54-1)*POWER($C$45,2))*$C$46)*_xlfn.NORM.S.DIST((($C$47-0.5*POWER($C$45,2)+C54*POWER($C$45,2))*$C$46-($C$48*$C$46/C54))/($C$45*SQRT($C$46)),TRUE)</f>
        <v>0.52240084193969949</v>
      </c>
      <c r="H54" s="81"/>
      <c r="I54" s="74"/>
    </row>
    <row r="55" spans="2:9">
      <c r="B55" s="77"/>
      <c r="G55" s="82">
        <f>EXP(($C$48-$C$47)*$C$46)*_xlfn.NORM.S.DIST((($C$48*$C$46/C54)- ($C$47-0.5*POWER($C$45,2))*$C$46)/($C$45*SQRT($C$46)),TRUE)</f>
        <v>0.44314777543338879</v>
      </c>
      <c r="H55" s="81"/>
      <c r="I55" s="74"/>
    </row>
    <row r="56" spans="2:9">
      <c r="B56" s="77"/>
      <c r="I56" s="74"/>
    </row>
    <row r="57" spans="2:9" ht="15.75">
      <c r="B57" s="77"/>
      <c r="E57" s="67" t="s">
        <v>102</v>
      </c>
      <c r="G57" s="113">
        <f>C43*(G55+G54)</f>
        <v>96.554861737308826</v>
      </c>
      <c r="I57" s="74"/>
    </row>
    <row r="58" spans="2:9">
      <c r="B58" s="73"/>
      <c r="C58" s="72"/>
      <c r="D58" s="72"/>
      <c r="E58" s="72"/>
      <c r="F58" s="72"/>
      <c r="G58" s="72"/>
      <c r="H58" s="72"/>
      <c r="I58" s="71"/>
    </row>
    <row r="61" spans="2:9">
      <c r="B61" s="92" t="s">
        <v>107</v>
      </c>
    </row>
    <row r="62" spans="2:9">
      <c r="B62" s="89"/>
      <c r="C62" s="88"/>
      <c r="D62" s="88"/>
      <c r="E62" s="88"/>
      <c r="F62" s="88"/>
      <c r="G62" s="88"/>
      <c r="H62" s="88"/>
      <c r="I62" s="87"/>
    </row>
    <row r="63" spans="2:9" ht="15.75">
      <c r="B63" s="77" t="s">
        <v>103</v>
      </c>
      <c r="C63" s="85">
        <v>1.2</v>
      </c>
      <c r="G63" s="82">
        <f>EXP(((C63-1)*$C$47+0.5*C63*(C63-1)*POWER($C$45,2))*$C$46)*_xlfn.NORM.S.DIST(($C$47-0.5*POWER($C$45,2)+C63*POWER($C$45,2)-($C$48/C63))*$C$46/($C$45*SQRT($C$46)),TRUE)</f>
        <v>0.81143586925974653</v>
      </c>
      <c r="H63" s="81"/>
      <c r="I63" s="74"/>
    </row>
    <row r="64" spans="2:9">
      <c r="B64" s="77"/>
      <c r="G64" s="82">
        <f>EXP(($C$48-$C$47)*$C$46)*_xlfn.NORM.S.DIST((($C$48/C63)- ($C$47-0.5*POWER($C$45,2)))*$C$46/($C$45*SQRT($C$46)),TRUE)</f>
        <v>0.37935594414958568</v>
      </c>
      <c r="H64" s="81"/>
      <c r="I64" s="74"/>
    </row>
    <row r="65" spans="2:14">
      <c r="B65" s="77"/>
      <c r="I65" s="74"/>
    </row>
    <row r="66" spans="2:14" ht="15.75">
      <c r="B66" s="77"/>
      <c r="E66" s="67" t="s">
        <v>102</v>
      </c>
      <c r="G66" s="113">
        <f>C43*(G64+G63)</f>
        <v>119.07918134093323</v>
      </c>
      <c r="I66" s="74"/>
    </row>
    <row r="67" spans="2:14">
      <c r="B67" s="73"/>
      <c r="C67" s="72"/>
      <c r="D67" s="72"/>
      <c r="E67" s="72"/>
      <c r="F67" s="72"/>
      <c r="G67" s="72"/>
      <c r="H67" s="72"/>
      <c r="I67" s="71"/>
    </row>
    <row r="73" spans="2:14" ht="14.65" thickBot="1">
      <c r="B73" s="4" t="s">
        <v>106</v>
      </c>
      <c r="C73" s="5"/>
      <c r="D73" s="11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6.149999999999999" thickBot="1">
      <c r="B74" t="s">
        <v>105</v>
      </c>
      <c r="C74"/>
      <c r="D74" s="114">
        <f>C90</f>
        <v>0.64800000000000002</v>
      </c>
      <c r="E74"/>
      <c r="F74"/>
      <c r="G74"/>
      <c r="H74"/>
      <c r="I74"/>
      <c r="J74"/>
      <c r="K74"/>
      <c r="L74"/>
      <c r="M74"/>
      <c r="N74"/>
    </row>
    <row r="75" spans="2:14"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</row>
    <row r="76" spans="2:14">
      <c r="B76" s="4" t="s">
        <v>98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ht="15.75">
      <c r="C77" s="70"/>
      <c r="F77" s="70"/>
      <c r="G77" s="68"/>
    </row>
    <row r="78" spans="2:14" ht="14.65" thickBot="1">
      <c r="B78" s="92" t="s">
        <v>97</v>
      </c>
    </row>
    <row r="79" spans="2:14" ht="16.149999999999999">
      <c r="B79" s="108" t="s">
        <v>95</v>
      </c>
      <c r="C79" s="107">
        <v>100</v>
      </c>
      <c r="H79" s="106"/>
      <c r="K79" s="109"/>
      <c r="L79" s="104" t="s">
        <v>96</v>
      </c>
    </row>
    <row r="80" spans="2:14">
      <c r="B80" s="99" t="s">
        <v>93</v>
      </c>
      <c r="C80" s="103">
        <v>0</v>
      </c>
      <c r="H80" s="90"/>
      <c r="K80" s="105"/>
      <c r="L80" s="104" t="s">
        <v>94</v>
      </c>
    </row>
    <row r="81" spans="2:9" ht="15.75">
      <c r="B81" s="99" t="s">
        <v>92</v>
      </c>
      <c r="C81" s="98">
        <v>0.2</v>
      </c>
      <c r="G81" s="102"/>
    </row>
    <row r="82" spans="2:9" ht="15.75">
      <c r="B82" s="99" t="s">
        <v>91</v>
      </c>
      <c r="C82" s="100">
        <v>5</v>
      </c>
      <c r="G82" s="69"/>
      <c r="I82" s="94"/>
    </row>
    <row r="83" spans="2:9" ht="15.75">
      <c r="B83" s="99" t="s">
        <v>90</v>
      </c>
      <c r="C83" s="98">
        <v>0.05</v>
      </c>
      <c r="I83" s="94"/>
    </row>
    <row r="84" spans="2:9" ht="14.65" thickBot="1">
      <c r="B84" s="97" t="s">
        <v>89</v>
      </c>
      <c r="C84" s="96">
        <v>0.02</v>
      </c>
      <c r="D84" s="93"/>
    </row>
    <row r="85" spans="2:9">
      <c r="C85" s="94"/>
      <c r="D85" s="93"/>
    </row>
    <row r="88" spans="2:9">
      <c r="B88" s="92" t="s">
        <v>104</v>
      </c>
    </row>
    <row r="89" spans="2:9">
      <c r="B89" s="89"/>
      <c r="C89" s="88"/>
      <c r="D89" s="88"/>
      <c r="E89" s="88"/>
      <c r="F89" s="88"/>
      <c r="G89" s="88"/>
      <c r="H89" s="88"/>
      <c r="I89" s="87"/>
    </row>
    <row r="90" spans="2:9" ht="15.75">
      <c r="B90" s="77" t="s">
        <v>103</v>
      </c>
      <c r="C90" s="80">
        <v>0.64800000000000002</v>
      </c>
      <c r="G90" s="82">
        <f>EXP(((C90-1)*$C$83+0.5*C90*(C90-1)*POWER($C$81,2))*$C$82)*_xlfn.NORM.S.DIST(($C$83-0.5*POWER($C$81,2)+C90*POWER($C$81,2)-($C$84/C90))*$C$82/($C$81*SQRT($C$82)),TRUE)</f>
        <v>0.5462958906660742</v>
      </c>
      <c r="H90" s="81"/>
      <c r="I90" s="74"/>
    </row>
    <row r="91" spans="2:9">
      <c r="B91" s="77"/>
      <c r="G91" s="82">
        <f>EXP(($C$84-$C$83)*$C$82)*_xlfn.NORM.S.DIST((($C$84/C90)- ($C$83-0.5*POWER($C$81,2)))*$C$82/($C$81*SQRT($C$82)),TRUE)</f>
        <v>0.43367161221166395</v>
      </c>
      <c r="H91" s="81"/>
      <c r="I91" s="74"/>
    </row>
    <row r="92" spans="2:9">
      <c r="B92" s="77"/>
      <c r="I92" s="74"/>
    </row>
    <row r="93" spans="2:9" ht="15.75">
      <c r="B93" s="77"/>
      <c r="C93" s="68"/>
      <c r="E93" s="67" t="s">
        <v>102</v>
      </c>
      <c r="G93" s="113">
        <f>C79*(G91+G90)</f>
        <v>97.996750287773821</v>
      </c>
      <c r="I93" s="74"/>
    </row>
    <row r="94" spans="2:9">
      <c r="B94" s="73"/>
      <c r="C94" s="72"/>
      <c r="D94" s="72"/>
      <c r="E94" s="72"/>
      <c r="F94" s="72"/>
      <c r="G94" s="72"/>
      <c r="H94" s="72"/>
      <c r="I94" s="71"/>
    </row>
    <row r="103" s="67" customFormat="1" ht="15.75" customHeight="1"/>
    <row r="104" s="67" customFormat="1" ht="15.75" customHeight="1"/>
    <row r="105" s="67" customFormat="1" ht="15.75" customHeight="1"/>
    <row r="106" s="67" customFormat="1" ht="15.75" customHeight="1"/>
    <row r="107" s="67" customFormat="1" ht="15.75" customHeight="1"/>
    <row r="108" s="67" customFormat="1" ht="15.75" customHeight="1"/>
    <row r="109" s="67" customFormat="1" ht="15.75" customHeight="1"/>
    <row r="110" s="67" customFormat="1" ht="15.75" customHeight="1"/>
    <row r="111" s="67" customFormat="1" ht="15.75" customHeight="1"/>
    <row r="112" s="67" customFormat="1" ht="15.75" customHeight="1"/>
    <row r="113" s="67" customFormat="1" ht="15.75" customHeight="1"/>
    <row r="114" s="67" customFormat="1" ht="15.75" customHeight="1"/>
    <row r="115" s="67" customFormat="1" ht="15.75" customHeight="1"/>
    <row r="116" s="67" customFormat="1" ht="15.75" customHeight="1"/>
    <row r="117" s="67" customFormat="1" ht="15.75" customHeight="1"/>
    <row r="118" s="67" customFormat="1" ht="15.75" customHeight="1"/>
    <row r="119" s="67" customFormat="1" ht="15.75" customHeight="1"/>
    <row r="120" s="67" customFormat="1" ht="15.75" customHeight="1"/>
    <row r="121" s="67" customFormat="1" ht="15.75" customHeight="1"/>
    <row r="122" s="67" customFormat="1" ht="15.75" customHeight="1"/>
    <row r="123" s="67" customFormat="1" ht="15.75" customHeight="1"/>
    <row r="124" s="67" customFormat="1" ht="15.75" customHeight="1"/>
    <row r="125" s="67" customFormat="1" ht="15.75" customHeight="1"/>
    <row r="126" s="67" customFormat="1" ht="15.75" customHeight="1"/>
    <row r="127" s="67" customFormat="1" ht="15.75" customHeight="1"/>
    <row r="128" s="67" customFormat="1" ht="15.75" customHeight="1"/>
    <row r="129" s="67" customFormat="1" ht="15.75" customHeight="1"/>
    <row r="130" s="67" customFormat="1" ht="15.75" customHeight="1"/>
    <row r="131" s="67" customFormat="1" ht="15.75" customHeight="1"/>
    <row r="132" s="67" customFormat="1" ht="15.75" customHeight="1"/>
    <row r="133" s="67" customFormat="1" ht="15.75" customHeight="1"/>
    <row r="134" s="67" customFormat="1" ht="15.75" customHeight="1"/>
    <row r="135" s="67" customFormat="1" ht="15.75" customHeight="1"/>
    <row r="136" s="67" customFormat="1" ht="15.75" customHeight="1"/>
    <row r="137" s="67" customFormat="1" ht="15.75" customHeight="1"/>
    <row r="138" s="67" customFormat="1" ht="15.75" customHeight="1"/>
    <row r="139" s="67" customFormat="1" ht="15.75" customHeight="1"/>
    <row r="140" s="67" customFormat="1" ht="15.75" customHeight="1"/>
    <row r="141" s="67" customFormat="1" ht="15.75" customHeight="1"/>
    <row r="142" s="67" customFormat="1" ht="15.75" customHeight="1"/>
    <row r="143" s="67" customFormat="1" ht="15.75" customHeight="1"/>
    <row r="144" s="67" customFormat="1" ht="15.75" customHeight="1"/>
    <row r="145" spans="2:14" ht="15.75" customHeight="1"/>
    <row r="146" spans="2:14" ht="15.75" customHeight="1"/>
    <row r="147" spans="2:14" ht="15.75" customHeight="1"/>
    <row r="148" spans="2:14" ht="15.75" customHeight="1"/>
    <row r="149" spans="2:14" ht="15.75" customHeight="1"/>
    <row r="150" spans="2:14" ht="15.75" customHeight="1"/>
    <row r="151" spans="2:14" ht="15.75" customHeight="1"/>
    <row r="152" spans="2:14" ht="15.75" customHeight="1"/>
    <row r="153" spans="2:14" ht="15.75" customHeight="1"/>
    <row r="154" spans="2:14" ht="15.75" customHeight="1"/>
    <row r="155" spans="2:14" ht="15.75" customHeight="1"/>
    <row r="156" spans="2:14" ht="15.75" customHeight="1"/>
    <row r="157" spans="2:14" ht="15.75" customHeight="1"/>
    <row r="158" spans="2:14">
      <c r="B158" s="4" t="s">
        <v>101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2:14" ht="15.75">
      <c r="B159" t="s">
        <v>100</v>
      </c>
      <c r="C159" s="112">
        <f>G186</f>
        <v>98.001817053436099</v>
      </c>
      <c r="D159" s="111" t="s">
        <v>99</v>
      </c>
      <c r="E159"/>
      <c r="F159"/>
      <c r="G159"/>
      <c r="H159"/>
      <c r="I159"/>
      <c r="J159"/>
      <c r="K159"/>
      <c r="L159"/>
      <c r="M159"/>
      <c r="N159"/>
    </row>
    <row r="160" spans="2:14"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</row>
    <row r="161" spans="2:14">
      <c r="B161" s="4" t="s">
        <v>98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4" spans="2:14" ht="14.65" thickBot="1">
      <c r="B164" s="92" t="s">
        <v>97</v>
      </c>
      <c r="L164" s="109"/>
      <c r="M164" s="104" t="s">
        <v>96</v>
      </c>
    </row>
    <row r="165" spans="2:14" ht="16.149999999999999">
      <c r="B165" s="108" t="s">
        <v>95</v>
      </c>
      <c r="C165" s="107">
        <v>100</v>
      </c>
      <c r="H165" s="106"/>
      <c r="L165" s="105"/>
      <c r="M165" s="104" t="s">
        <v>94</v>
      </c>
    </row>
    <row r="166" spans="2:14">
      <c r="B166" s="99" t="s">
        <v>93</v>
      </c>
      <c r="C166" s="103">
        <v>0</v>
      </c>
      <c r="H166" s="90"/>
    </row>
    <row r="167" spans="2:14" ht="15.75">
      <c r="B167" s="99" t="s">
        <v>92</v>
      </c>
      <c r="C167" s="98">
        <v>0.2</v>
      </c>
      <c r="G167" s="102"/>
      <c r="I167" s="101"/>
    </row>
    <row r="168" spans="2:14" ht="15.75">
      <c r="B168" s="99" t="s">
        <v>91</v>
      </c>
      <c r="C168" s="100">
        <v>5</v>
      </c>
      <c r="G168" s="69"/>
      <c r="K168" s="94"/>
    </row>
    <row r="169" spans="2:14" ht="15.75">
      <c r="B169" s="99" t="s">
        <v>90</v>
      </c>
      <c r="C169" s="98">
        <v>0.05</v>
      </c>
      <c r="K169" s="94"/>
    </row>
    <row r="170" spans="2:14" ht="14.65" thickBot="1">
      <c r="B170" s="97" t="s">
        <v>89</v>
      </c>
      <c r="C170" s="96">
        <v>0.02</v>
      </c>
      <c r="D170" s="93"/>
      <c r="G170" s="95" t="s">
        <v>88</v>
      </c>
    </row>
    <row r="171" spans="2:14">
      <c r="C171" s="94"/>
      <c r="D171" s="93"/>
    </row>
    <row r="172" spans="2:14">
      <c r="C172" s="94"/>
      <c r="D172" s="93"/>
    </row>
    <row r="173" spans="2:14">
      <c r="C173" s="94"/>
      <c r="D173" s="93"/>
    </row>
    <row r="174" spans="2:14">
      <c r="C174" s="94"/>
      <c r="D174" s="93"/>
    </row>
    <row r="175" spans="2:14">
      <c r="C175" s="94"/>
      <c r="D175" s="93"/>
    </row>
    <row r="176" spans="2:14">
      <c r="C176" s="94"/>
      <c r="D176" s="93"/>
    </row>
    <row r="177" spans="2:11">
      <c r="C177" s="94"/>
      <c r="D177" s="93"/>
    </row>
    <row r="178" spans="2:11">
      <c r="C178" s="94"/>
      <c r="D178" s="93"/>
    </row>
    <row r="179" spans="2:11">
      <c r="B179" s="92" t="s">
        <v>87</v>
      </c>
      <c r="C179" s="90"/>
      <c r="D179" s="68"/>
      <c r="F179" s="91"/>
      <c r="J179" s="90"/>
    </row>
    <row r="180" spans="2:11">
      <c r="B180" s="89"/>
      <c r="C180" s="88"/>
      <c r="D180" s="88"/>
      <c r="E180" s="88"/>
      <c r="F180" s="88"/>
      <c r="G180" s="88"/>
      <c r="H180" s="88"/>
      <c r="I180" s="88"/>
      <c r="J180" s="88"/>
      <c r="K180" s="87"/>
    </row>
    <row r="181" spans="2:11" ht="15.75">
      <c r="B181" s="77" t="s">
        <v>86</v>
      </c>
      <c r="C181" s="86">
        <f>0.5*C182</f>
        <v>7.0000000000000007E-2</v>
      </c>
      <c r="D181" s="84"/>
      <c r="G181" s="82">
        <f>EXP($C$170*$C$168)*_xlfn.NORM.S.DIST((-($C$169-0.5*POWER($C$167,2))*$C$168+($C$181*$C$168/$C$183))/($C$167*SQRT($C$168)),TRUE)</f>
        <v>0.85405819504141678</v>
      </c>
      <c r="H181" s="81"/>
      <c r="J181" s="69"/>
      <c r="K181" s="74"/>
    </row>
    <row r="182" spans="2:11" ht="15.75">
      <c r="B182" s="77" t="s">
        <v>85</v>
      </c>
      <c r="C182" s="85">
        <v>0.14000000000000001</v>
      </c>
      <c r="D182" s="84"/>
      <c r="G182" s="82">
        <f>EXP($C$184*($C$169+0.5*($C$184-1)*POWER($C$167,2))*$C$168)*_xlfn.NORM.S.DIST((($C$169-0.5*POWER($C$167,2)+$C$184*POWER($C$167,2))*$C$168-($C$182*$C$168/$C$184))/($C$167*SQRT($C$168)),TRUE)</f>
        <v>0.12580850800773469</v>
      </c>
      <c r="H182" s="81"/>
      <c r="K182" s="74"/>
    </row>
    <row r="183" spans="2:11" ht="15.75">
      <c r="B183" s="77" t="s">
        <v>84</v>
      </c>
      <c r="C183" s="83">
        <f>0.9*C184</f>
        <v>0.72233999999999998</v>
      </c>
      <c r="G183" s="82">
        <f>EXP($C$183*($C$169+0.5*($C$183-1)*POWER($C$167,2))*$C$168)*(_xlfn.NORM.S.DIST((($C$169-0.5*POWER($C$167,2)+$C$183*POWER($C$167,2))*$C$168-($C$181*$C$168/$C$183))/($C$167*SQRT($C$168)),TRUE)-_xlfn.NORM.S.DIST((($C$169-0.5*POWER($C$167,2)+$C$183*POWER($C$167,2))*$C$168-($C$182*$C$168/$C$184))/($C$167*SQRT($C$168)),TRUE))</f>
        <v>0.27850153673278949</v>
      </c>
      <c r="H183" s="81"/>
      <c r="J183" s="69"/>
      <c r="K183" s="74"/>
    </row>
    <row r="184" spans="2:11" ht="15.75">
      <c r="B184" s="77" t="s">
        <v>83</v>
      </c>
      <c r="C184" s="80">
        <v>0.80259999999999998</v>
      </c>
      <c r="D184" s="79"/>
      <c r="K184" s="74"/>
    </row>
    <row r="185" spans="2:11">
      <c r="B185" s="77"/>
      <c r="J185" s="69"/>
      <c r="K185" s="78"/>
    </row>
    <row r="186" spans="2:11" ht="15.75">
      <c r="B186" s="77"/>
      <c r="E186" s="67" t="s">
        <v>82</v>
      </c>
      <c r="G186" s="76">
        <f>C165*EXP(-C169*C168)*SUM(G181:G183)</f>
        <v>98.001817053436099</v>
      </c>
      <c r="H186" s="75"/>
      <c r="K186" s="74"/>
    </row>
    <row r="187" spans="2:11">
      <c r="B187" s="73"/>
      <c r="C187" s="72"/>
      <c r="D187" s="72"/>
      <c r="E187" s="72"/>
      <c r="F187" s="72"/>
      <c r="G187" s="72"/>
      <c r="H187" s="72"/>
      <c r="I187" s="72"/>
      <c r="J187" s="72"/>
      <c r="K187" s="71"/>
    </row>
    <row r="189" spans="2:11" ht="15.75">
      <c r="C189" s="70"/>
      <c r="D189" s="68"/>
      <c r="E189" s="69"/>
      <c r="G189" s="6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8873-6ECB-48BA-9AA9-2AD52518D39B}">
  <dimension ref="B1:N135"/>
  <sheetViews>
    <sheetView showGridLines="0" topLeftCell="A40" zoomScaleNormal="100" workbookViewId="0">
      <selection activeCell="J61" sqref="J61"/>
    </sheetView>
  </sheetViews>
  <sheetFormatPr defaultColWidth="9" defaultRowHeight="14.25"/>
  <cols>
    <col min="1" max="1" width="9" style="117"/>
    <col min="2" max="2" width="27.1875" style="117" bestFit="1" customWidth="1"/>
    <col min="3" max="3" width="8.625" style="117" bestFit="1" customWidth="1"/>
    <col min="4" max="4" width="8.375" style="117" customWidth="1"/>
    <col min="5" max="5" width="12.5" style="117" customWidth="1"/>
    <col min="6" max="6" width="9.875" style="117" customWidth="1"/>
    <col min="7" max="7" width="11.375" style="117" bestFit="1" customWidth="1"/>
    <col min="8" max="8" width="9.625" style="117" bestFit="1" customWidth="1"/>
    <col min="9" max="9" width="7.875" style="117" customWidth="1"/>
    <col min="10" max="10" width="11.625" style="117" bestFit="1" customWidth="1"/>
    <col min="11" max="11" width="9" style="117" customWidth="1"/>
    <col min="12" max="16384" width="9" style="117"/>
  </cols>
  <sheetData>
    <row r="1" spans="2:14" s="67" customFormat="1" ht="15.75">
      <c r="C1" s="70"/>
      <c r="D1" s="68"/>
      <c r="E1" s="69"/>
      <c r="G1" s="68"/>
    </row>
    <row r="2" spans="2:14" s="67" customFormat="1"/>
    <row r="3" spans="2:14" s="67" customFormat="1"/>
    <row r="4" spans="2:14" s="67" customFormat="1"/>
    <row r="5" spans="2:14" s="67" customFormat="1"/>
    <row r="6" spans="2:14" s="67" customFormat="1"/>
    <row r="7" spans="2:14" s="67" customFormat="1"/>
    <row r="8" spans="2:14" s="67" customFormat="1"/>
    <row r="9" spans="2:14" s="67" customFormat="1"/>
    <row r="10" spans="2:14" s="67" customFormat="1">
      <c r="B10" s="4" t="s">
        <v>121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s="67" customFormat="1" ht="15.7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2:14" s="67" customFormat="1">
      <c r="B12" s="162" t="s">
        <v>120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2:14" s="67" customFormat="1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spans="2:14" s="67" customFormat="1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2:14" s="67" customFormat="1"/>
    <row r="16" spans="2:14" s="67" customFormat="1">
      <c r="B16" s="4" t="s">
        <v>98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2" s="67" customFormat="1"/>
    <row r="18" spans="2:12">
      <c r="B18" s="138"/>
      <c r="C18" s="137"/>
      <c r="D18" s="137"/>
      <c r="E18" s="137"/>
      <c r="F18" s="137"/>
      <c r="G18" s="137"/>
      <c r="H18" s="137"/>
      <c r="I18" s="136"/>
    </row>
    <row r="21" spans="2:12" ht="14.65" thickBot="1">
      <c r="B21" s="149" t="s">
        <v>119</v>
      </c>
    </row>
    <row r="22" spans="2:12" ht="16.149999999999999">
      <c r="B22" s="161" t="s">
        <v>95</v>
      </c>
      <c r="C22" s="160">
        <v>100</v>
      </c>
      <c r="H22" s="159"/>
    </row>
    <row r="23" spans="2:12">
      <c r="B23" s="157" t="s">
        <v>93</v>
      </c>
      <c r="C23" s="156">
        <v>0</v>
      </c>
      <c r="H23" s="123"/>
    </row>
    <row r="24" spans="2:12" ht="15.75">
      <c r="B24" s="157" t="s">
        <v>92</v>
      </c>
      <c r="C24" s="156">
        <v>0.2</v>
      </c>
      <c r="G24" s="102"/>
      <c r="I24" s="120"/>
    </row>
    <row r="25" spans="2:12" ht="15.75">
      <c r="B25" s="157" t="s">
        <v>91</v>
      </c>
      <c r="C25" s="100">
        <v>5</v>
      </c>
      <c r="G25" s="119"/>
      <c r="K25" s="151"/>
      <c r="L25" s="151"/>
    </row>
    <row r="26" spans="2:12" ht="15.75">
      <c r="B26" s="157" t="s">
        <v>90</v>
      </c>
      <c r="C26" s="158">
        <v>0.05</v>
      </c>
      <c r="K26" s="151"/>
    </row>
    <row r="27" spans="2:12">
      <c r="B27" s="157" t="s">
        <v>86</v>
      </c>
      <c r="C27" s="156">
        <f>C28*0.5</f>
        <v>7.0000000000000007E-2</v>
      </c>
      <c r="E27" s="151"/>
    </row>
    <row r="28" spans="2:12" ht="15.75">
      <c r="B28" s="157" t="s">
        <v>85</v>
      </c>
      <c r="C28" s="156">
        <v>0.14000000000000001</v>
      </c>
      <c r="D28" s="155"/>
      <c r="E28" s="151"/>
      <c r="G28" s="151"/>
    </row>
    <row r="29" spans="2:12" ht="14.65" thickBot="1">
      <c r="B29" s="154" t="s">
        <v>89</v>
      </c>
      <c r="C29" s="153">
        <v>0.02</v>
      </c>
      <c r="D29" s="150"/>
      <c r="G29" s="152" t="s">
        <v>88</v>
      </c>
    </row>
    <row r="30" spans="2:12">
      <c r="C30" s="151"/>
      <c r="D30" s="150"/>
    </row>
    <row r="31" spans="2:12">
      <c r="C31" s="151"/>
      <c r="D31" s="150"/>
    </row>
    <row r="32" spans="2:12">
      <c r="C32" s="151"/>
      <c r="D32" s="150"/>
    </row>
    <row r="33" spans="2:11">
      <c r="C33" s="151"/>
      <c r="D33" s="150"/>
    </row>
    <row r="34" spans="2:11">
      <c r="C34" s="151"/>
      <c r="D34" s="150"/>
    </row>
    <row r="35" spans="2:11">
      <c r="C35" s="151"/>
      <c r="D35" s="150"/>
    </row>
    <row r="36" spans="2:11">
      <c r="C36" s="151"/>
      <c r="D36" s="150"/>
    </row>
    <row r="37" spans="2:11">
      <c r="C37" s="151"/>
      <c r="D37" s="150"/>
    </row>
    <row r="38" spans="2:11">
      <c r="C38" s="151"/>
      <c r="D38" s="150"/>
    </row>
    <row r="39" spans="2:11">
      <c r="B39" s="149" t="s">
        <v>87</v>
      </c>
    </row>
    <row r="40" spans="2:11">
      <c r="B40" s="148"/>
      <c r="C40" s="147"/>
      <c r="D40" s="147"/>
      <c r="E40" s="147"/>
      <c r="F40" s="147"/>
      <c r="G40" s="147"/>
      <c r="H40" s="147"/>
      <c r="I40" s="147"/>
      <c r="J40" s="147"/>
      <c r="K40" s="146"/>
    </row>
    <row r="41" spans="2:11" ht="15.75">
      <c r="B41" s="141" t="s">
        <v>86</v>
      </c>
      <c r="C41" s="85">
        <f>0.5*C42</f>
        <v>7.0000000000000007E-2</v>
      </c>
      <c r="D41" s="127">
        <f>EXP(C41*$C$25/C43)-1</f>
        <v>0.72271329314586463</v>
      </c>
      <c r="G41" s="144">
        <f>EXP($C$29*$C$25)*_xlfn.NORM.S.DIST((-($C$26-0.5*POWER($C$24,2))*$C$25+($C$41*$C$25/$C$43))/($C$24*SQRT($C$25)),TRUE)</f>
        <v>0.89605469680268024</v>
      </c>
      <c r="H41" s="145"/>
      <c r="J41" s="144">
        <f>-EXP($C$29*$C$25)*_xlfn.NORM.S.DIST((-($C$26-0.5*POWER($C$24,2))*$C$25+(0.5*$C$42*$C$25/(0.75*$C$44)))/($C$24*SQRT($C$25)),FALSE)*(0.5*$C$42/($C$24*0.75*POWER($C$44,2)))*SQRT($C$25)</f>
        <v>-0.47848340360253006</v>
      </c>
      <c r="K41" s="139"/>
    </row>
    <row r="42" spans="2:11" ht="15.75">
      <c r="B42" s="141" t="s">
        <v>85</v>
      </c>
      <c r="C42" s="85">
        <v>0.14000000000000001</v>
      </c>
      <c r="D42" s="127">
        <f>EXP(C42*$C$25/C44)-1</f>
        <v>1.6618489598710546</v>
      </c>
      <c r="G42" s="144">
        <f>EXP($C$44*($C$26+0.5*($C$44-1)*POWER($C$24,2))*$C$25)*_xlfn.NORM.S.DIST((($C$26-0.5*POWER($C$24,2)+$C$44*POWER($C$24,2))*$C$25-($C$42*$C$25/$C$44))/($C$24*SQRT($C$25)),TRUE)</f>
        <v>7.3244036108700089E-2</v>
      </c>
      <c r="H42" s="145"/>
      <c r="K42" s="139"/>
    </row>
    <row r="43" spans="2:11" ht="15.75">
      <c r="B43" s="141" t="s">
        <v>84</v>
      </c>
      <c r="C43" s="80">
        <f>0.9*C44</f>
        <v>0.64349999999999996</v>
      </c>
      <c r="G43" s="144">
        <f>EXP($C$43*($C$26+0.5*($C$43-1)*POWER($C$24,2))*$C$25)*(_xlfn.NORM.S.DIST((($C$26-0.5*POWER($C$24,2)+$C$43*POWER($C$24,2))*$C$25-($C$41*$C$25/$C$43))/($C$24*SQRT($C$25)),TRUE)-_xlfn.NORM.S.DIST((($C$26-0.5*POWER($C$24,2)+$C$43*POWER($C$24,2))*$C$25-($C$42*$C$25/$C$44))/($C$24*SQRT($C$25)),TRUE))</f>
        <v>0.25013895750915444</v>
      </c>
      <c r="H43" s="145"/>
      <c r="J43" s="144">
        <f>G42*($C$26+($C$44-0.5)*POWER($C$24,2))*$C$25+EXP($C$44*($C$26+0.5*($C$44-1)*POWER($C$24,2))*$C$25)*_xlfn.NORM.S.DIST((($C$26-0.5*POWER($C$24,2)+$C$44*POWER($C$24,2))*$C$25-($C$42*$C$25/$C$44))/($C$24*SQRT($C$25)),FALSE)*($C$24+($C$42/($C$24*POWER($C$44,2))))*SQRT($C$25)</f>
        <v>0.52716397971411</v>
      </c>
      <c r="K43" s="139"/>
    </row>
    <row r="44" spans="2:11" ht="15.75">
      <c r="B44" s="141" t="s">
        <v>83</v>
      </c>
      <c r="C44" s="80">
        <v>0.71499999999999997</v>
      </c>
      <c r="D44" s="79"/>
      <c r="K44" s="139"/>
    </row>
    <row r="45" spans="2:11">
      <c r="B45" s="141"/>
      <c r="J45" s="144">
        <f>G43*0.9*($C$26+(0.9*$C$44-0.5)*POWER($C$24,2))*$C$25+EXP(0.9*$C$44*($C$26+0.5*(0.9*$C$44-1)*POWER($C$24,2))*$C$25)*(_xlfn.NORM.S.DIST((($C$26-0.5*POWER($C$24,2)+0.9*$C$44*POWER($C$24,2))*$C$25-0.5*$C$42*$C$25/(0.9*$C$44))/($C$24*SQRT($C$25)),FALSE)*(0.9*$C$24+0.5*$C$42/($C$24*0.9*POWER($C$44,2)))*SQRT($C$25)-_xlfn.NORM.S.DIST((($C$26-0.5*POWER($C$24,2)+0.9*$C$44*POWER($C$24,2))*$C$25-$C$42*$C$25/($C$44))/($C$24*SQRT($C$25)),FALSE)*(0.9*$C$24+$C$42/($C$24*POWER($C$44,2)))*SQRT($C$25))</f>
        <v>0.40519542786417712</v>
      </c>
      <c r="K45" s="143"/>
    </row>
    <row r="46" spans="2:11">
      <c r="B46" s="141"/>
      <c r="E46" s="117" t="s">
        <v>82</v>
      </c>
      <c r="G46" s="142">
        <f>$C$22*EXP(-$C$26*$C$25)*SUM(G41:G43)</f>
        <v>94.969902820629798</v>
      </c>
      <c r="H46" s="118"/>
      <c r="K46" s="139"/>
    </row>
    <row r="47" spans="2:11" ht="15.75">
      <c r="B47" s="141" t="s">
        <v>118</v>
      </c>
      <c r="C47" s="79">
        <f>EXP($C$29*$C$25)-1</f>
        <v>0.10517091807564771</v>
      </c>
      <c r="E47" s="117" t="s">
        <v>117</v>
      </c>
      <c r="G47" s="140">
        <f>$C$22*EXP(-$C$26*$C$25)*SUM(J45,J43,J41)</f>
        <v>35.347898731363962</v>
      </c>
      <c r="H47" s="118"/>
      <c r="K47" s="139"/>
    </row>
    <row r="48" spans="2:11">
      <c r="B48" s="138"/>
      <c r="C48" s="137"/>
      <c r="D48" s="137"/>
      <c r="E48" s="137"/>
      <c r="F48" s="137"/>
      <c r="G48" s="137"/>
      <c r="H48" s="137"/>
      <c r="I48" s="137"/>
      <c r="J48" s="137"/>
      <c r="K48" s="136"/>
    </row>
    <row r="51" spans="2:13" ht="15.75">
      <c r="C51" s="70"/>
      <c r="D51" s="118"/>
      <c r="F51" s="70"/>
      <c r="G51" s="118"/>
      <c r="I51" s="123"/>
      <c r="J51" s="123"/>
    </row>
    <row r="52" spans="2:13" ht="29.75" customHeight="1">
      <c r="C52" s="70"/>
      <c r="D52" s="135" t="s">
        <v>116</v>
      </c>
      <c r="E52" s="134" t="s">
        <v>114</v>
      </c>
      <c r="F52" s="133" t="s">
        <v>113</v>
      </c>
      <c r="G52" s="132" t="s">
        <v>115</v>
      </c>
      <c r="I52" s="123"/>
      <c r="J52" s="123"/>
      <c r="L52" s="131" t="s">
        <v>114</v>
      </c>
      <c r="M52" s="130" t="s">
        <v>113</v>
      </c>
    </row>
    <row r="53" spans="2:13" ht="15.75">
      <c r="C53" s="123"/>
      <c r="D53" s="126">
        <v>0.03</v>
      </c>
      <c r="E53" s="125">
        <f t="shared" ref="E53:E59" si="0">MAX(EXP($C$29*$C$25),POWER(EXP(D53*$C$25),$C$14))*$C$22</f>
        <v>110.51709180756477</v>
      </c>
      <c r="F53" s="125">
        <f t="shared" ref="F53:F59" si="1">MAX(EXP($C$29*$C$25),IF(D53&lt;=$C$41/$C$43,EXP($C$29*$C$25),POWER(EXP(D53*$C$25),IF(D53&lt;=$C$42,$C$43,$C$44))))*$C$22</f>
        <v>110.51709180756477</v>
      </c>
      <c r="G53" s="124">
        <f t="shared" ref="G53:G59" si="2">F53-E53</f>
        <v>0</v>
      </c>
      <c r="I53" s="123"/>
      <c r="K53" s="123">
        <f t="shared" ref="K53:K58" si="3">EXP(D53*5)*$C$22</f>
        <v>116.1834242728283</v>
      </c>
      <c r="L53" s="128">
        <f t="shared" ref="L53:L58" si="4">LN(E53/$C$22)/LN(K53/$C$22)</f>
        <v>0.66666666666666741</v>
      </c>
      <c r="M53" s="127">
        <f t="shared" ref="M53:M58" si="5">LN(F53/$C$22)/LN(K53/$C$22)</f>
        <v>0.66666666666666741</v>
      </c>
    </row>
    <row r="54" spans="2:13" ht="15.75">
      <c r="B54" s="129"/>
      <c r="C54" s="123"/>
      <c r="D54" s="126">
        <f t="shared" ref="D54:D59" si="6">D53+0.05</f>
        <v>0.08</v>
      </c>
      <c r="E54" s="125">
        <f t="shared" si="0"/>
        <v>110.51709180756477</v>
      </c>
      <c r="F54" s="125">
        <f t="shared" si="1"/>
        <v>110.51709180756477</v>
      </c>
      <c r="G54" s="124">
        <f t="shared" si="2"/>
        <v>0</v>
      </c>
      <c r="I54" s="123"/>
      <c r="K54" s="123">
        <f t="shared" si="3"/>
        <v>149.18246976412703</v>
      </c>
      <c r="L54" s="128">
        <f t="shared" si="4"/>
        <v>0.25000000000000017</v>
      </c>
      <c r="M54" s="127">
        <f t="shared" si="5"/>
        <v>0.25000000000000017</v>
      </c>
    </row>
    <row r="55" spans="2:13" ht="15.75">
      <c r="C55" s="118"/>
      <c r="D55" s="126">
        <f t="shared" si="6"/>
        <v>0.13</v>
      </c>
      <c r="E55" s="125">
        <f t="shared" si="0"/>
        <v>110.51709180756477</v>
      </c>
      <c r="F55" s="125">
        <f t="shared" si="1"/>
        <v>151.93384350271538</v>
      </c>
      <c r="G55" s="124">
        <f t="shared" si="2"/>
        <v>41.416751695150609</v>
      </c>
      <c r="I55" s="123"/>
      <c r="K55" s="123">
        <f t="shared" si="3"/>
        <v>191.55408290138962</v>
      </c>
      <c r="L55" s="128">
        <f t="shared" si="4"/>
        <v>0.15384615384615397</v>
      </c>
      <c r="M55" s="127">
        <f t="shared" si="5"/>
        <v>0.64349999999999996</v>
      </c>
    </row>
    <row r="56" spans="2:13" ht="15.75">
      <c r="C56" s="118"/>
      <c r="D56" s="126">
        <f t="shared" si="6"/>
        <v>0.18</v>
      </c>
      <c r="E56" s="125">
        <f t="shared" si="0"/>
        <v>110.51709180756477</v>
      </c>
      <c r="F56" s="125">
        <f t="shared" si="1"/>
        <v>190.31301918917069</v>
      </c>
      <c r="G56" s="124">
        <f t="shared" si="2"/>
        <v>79.795927381605921</v>
      </c>
      <c r="I56" s="123"/>
      <c r="K56" s="123">
        <f t="shared" si="3"/>
        <v>245.96031111569494</v>
      </c>
      <c r="L56" s="128">
        <f t="shared" si="4"/>
        <v>0.1111111111111112</v>
      </c>
      <c r="M56" s="127">
        <f t="shared" si="5"/>
        <v>0.71500000000000008</v>
      </c>
    </row>
    <row r="57" spans="2:13" ht="15.75">
      <c r="C57" s="118"/>
      <c r="D57" s="126">
        <f t="shared" si="6"/>
        <v>0.22999999999999998</v>
      </c>
      <c r="E57" s="125">
        <f t="shared" si="0"/>
        <v>110.51709180756477</v>
      </c>
      <c r="F57" s="125">
        <f t="shared" si="1"/>
        <v>227.56142136823948</v>
      </c>
      <c r="G57" s="124">
        <f t="shared" si="2"/>
        <v>117.04432956067471</v>
      </c>
      <c r="I57" s="123"/>
      <c r="K57" s="123">
        <f t="shared" si="3"/>
        <v>315.8192909689767</v>
      </c>
      <c r="L57" s="128">
        <f t="shared" si="4"/>
        <v>8.6956521739130502E-2</v>
      </c>
      <c r="M57" s="127">
        <f t="shared" si="5"/>
        <v>0.71499999999999997</v>
      </c>
    </row>
    <row r="58" spans="2:13" ht="15.75">
      <c r="C58" s="118"/>
      <c r="D58" s="126">
        <f t="shared" si="6"/>
        <v>0.27999999999999997</v>
      </c>
      <c r="E58" s="125">
        <f t="shared" si="0"/>
        <v>110.51709180756477</v>
      </c>
      <c r="F58" s="125">
        <f t="shared" si="1"/>
        <v>272.1001469881578</v>
      </c>
      <c r="G58" s="124">
        <f t="shared" si="2"/>
        <v>161.58305518059302</v>
      </c>
      <c r="H58" s="123"/>
      <c r="I58" s="123"/>
      <c r="K58" s="123">
        <f t="shared" si="3"/>
        <v>405.51999668446746</v>
      </c>
      <c r="L58" s="128">
        <f t="shared" si="4"/>
        <v>7.142857142857148E-2</v>
      </c>
      <c r="M58" s="127">
        <f t="shared" si="5"/>
        <v>0.71499999999999986</v>
      </c>
    </row>
    <row r="59" spans="2:13" ht="15.75">
      <c r="C59" s="118"/>
      <c r="D59" s="126">
        <f t="shared" si="6"/>
        <v>0.32999999999999996</v>
      </c>
      <c r="E59" s="125">
        <f t="shared" si="0"/>
        <v>110.51709180756477</v>
      </c>
      <c r="F59" s="125">
        <f t="shared" si="1"/>
        <v>325.35607110296672</v>
      </c>
      <c r="G59" s="124">
        <f t="shared" si="2"/>
        <v>214.83897929540194</v>
      </c>
      <c r="H59" s="123"/>
      <c r="I59" s="123"/>
      <c r="J59" s="123"/>
    </row>
    <row r="60" spans="2:13" ht="15.75">
      <c r="C60" s="118"/>
      <c r="D60" s="122"/>
      <c r="E60" s="121"/>
      <c r="F60" s="121"/>
      <c r="G60" s="118"/>
    </row>
    <row r="61" spans="2:13" ht="15.75">
      <c r="C61" s="118"/>
      <c r="D61" s="122"/>
      <c r="E61" s="121"/>
      <c r="F61" s="121"/>
      <c r="G61" s="118"/>
    </row>
    <row r="62" spans="2:13" ht="15.75">
      <c r="C62" s="118"/>
      <c r="D62" s="122"/>
      <c r="E62" s="121"/>
      <c r="F62" s="121"/>
      <c r="G62" s="118"/>
    </row>
    <row r="63" spans="2:13" ht="15.75">
      <c r="C63" s="118"/>
      <c r="D63" s="122"/>
      <c r="E63" s="121"/>
      <c r="F63" s="121"/>
      <c r="G63" s="118"/>
    </row>
    <row r="64" spans="2:13" ht="15.75">
      <c r="C64" s="118"/>
      <c r="D64" s="122"/>
      <c r="E64" s="121"/>
      <c r="F64" s="121"/>
      <c r="G64" s="118"/>
    </row>
    <row r="65" spans="3:7" ht="15.75">
      <c r="C65" s="118"/>
      <c r="D65" s="122"/>
      <c r="E65" s="121"/>
      <c r="F65" s="121"/>
      <c r="G65" s="118"/>
    </row>
    <row r="66" spans="3:7" ht="15.75">
      <c r="C66" s="118"/>
      <c r="D66" s="122"/>
      <c r="E66" s="121"/>
      <c r="F66" s="121"/>
      <c r="G66" s="118"/>
    </row>
    <row r="67" spans="3:7" ht="15.75">
      <c r="C67" s="118"/>
      <c r="D67" s="122"/>
      <c r="E67" s="121"/>
      <c r="F67" s="121"/>
      <c r="G67" s="118"/>
    </row>
    <row r="68" spans="3:7" ht="15.75">
      <c r="C68" s="70"/>
      <c r="D68" s="122"/>
      <c r="E68" s="121"/>
      <c r="F68" s="121"/>
      <c r="G68" s="118"/>
    </row>
    <row r="69" spans="3:7" ht="15.75">
      <c r="C69" s="70"/>
      <c r="D69" s="122"/>
      <c r="E69" s="121"/>
      <c r="F69" s="121"/>
      <c r="G69" s="118"/>
    </row>
    <row r="70" spans="3:7" ht="15.75">
      <c r="C70" s="70"/>
      <c r="D70" s="118"/>
      <c r="E70" s="119"/>
      <c r="G70" s="118"/>
    </row>
    <row r="71" spans="3:7" ht="15.75">
      <c r="C71" s="70"/>
      <c r="D71" s="118"/>
      <c r="E71" s="119"/>
      <c r="G71" s="118"/>
    </row>
    <row r="72" spans="3:7" ht="15.75">
      <c r="C72" s="70"/>
      <c r="D72" s="118"/>
      <c r="E72" s="119"/>
      <c r="G72" s="118"/>
    </row>
    <row r="73" spans="3:7">
      <c r="D73" s="118"/>
      <c r="E73" s="119"/>
      <c r="G73" s="118"/>
    </row>
    <row r="74" spans="3:7">
      <c r="C74" s="118"/>
      <c r="D74" s="118"/>
      <c r="E74" s="119"/>
      <c r="G74" s="118"/>
    </row>
    <row r="75" spans="3:7">
      <c r="D75" s="118"/>
      <c r="E75" s="119"/>
      <c r="G75" s="118"/>
    </row>
    <row r="76" spans="3:7">
      <c r="D76" s="118"/>
      <c r="E76" s="119"/>
      <c r="G76" s="118"/>
    </row>
    <row r="77" spans="3:7">
      <c r="C77" s="120"/>
      <c r="D77" s="118"/>
      <c r="E77" s="119"/>
      <c r="G77" s="118"/>
    </row>
    <row r="78" spans="3:7" ht="15.75">
      <c r="C78" s="70"/>
      <c r="D78" s="118"/>
      <c r="E78" s="119"/>
      <c r="G78" s="118"/>
    </row>
    <row r="79" spans="3:7" ht="15.75">
      <c r="C79" s="70"/>
      <c r="D79" s="118"/>
      <c r="E79" s="119"/>
      <c r="G79" s="118"/>
    </row>
    <row r="80" spans="3:7" ht="15.75">
      <c r="C80" s="70"/>
      <c r="D80" s="118"/>
      <c r="E80" s="119"/>
      <c r="G80" s="118"/>
    </row>
    <row r="81" spans="3:7" ht="15.75">
      <c r="C81" s="70"/>
      <c r="D81" s="118"/>
      <c r="E81" s="119"/>
      <c r="G81" s="118"/>
    </row>
    <row r="82" spans="3:7" ht="15.75">
      <c r="C82" s="70"/>
      <c r="D82" s="118"/>
      <c r="E82" s="119"/>
      <c r="G82" s="118"/>
    </row>
    <row r="83" spans="3:7" ht="15.75">
      <c r="C83" s="70"/>
      <c r="D83" s="118"/>
      <c r="E83" s="119"/>
      <c r="G83" s="118"/>
    </row>
    <row r="84" spans="3:7" ht="15.75">
      <c r="C84" s="70"/>
      <c r="D84" s="118"/>
      <c r="E84" s="119"/>
      <c r="G84" s="118"/>
    </row>
    <row r="85" spans="3:7" ht="15.75">
      <c r="C85" s="70"/>
      <c r="D85" s="118"/>
      <c r="E85" s="119"/>
      <c r="G85" s="118"/>
    </row>
    <row r="86" spans="3:7" ht="15.75">
      <c r="C86" s="70"/>
      <c r="D86" s="118"/>
      <c r="E86" s="119"/>
      <c r="G86" s="118"/>
    </row>
    <row r="87" spans="3:7" ht="15.75">
      <c r="C87" s="70"/>
      <c r="D87" s="118"/>
      <c r="E87" s="119"/>
      <c r="G87" s="118"/>
    </row>
    <row r="88" spans="3:7" ht="15.75">
      <c r="C88" s="70"/>
      <c r="D88" s="118"/>
      <c r="E88" s="119"/>
      <c r="G88" s="118"/>
    </row>
    <row r="89" spans="3:7" ht="15.75">
      <c r="C89" s="70"/>
      <c r="D89" s="118"/>
      <c r="E89" s="119"/>
      <c r="G89" s="118"/>
    </row>
    <row r="90" spans="3:7" ht="15.75">
      <c r="C90" s="70"/>
      <c r="D90" s="118"/>
      <c r="E90" s="119"/>
      <c r="G90" s="118"/>
    </row>
    <row r="91" spans="3:7" ht="15.75">
      <c r="C91" s="70"/>
      <c r="D91" s="118"/>
      <c r="E91" s="119"/>
      <c r="G91" s="118"/>
    </row>
    <row r="92" spans="3:7" ht="15.75">
      <c r="C92" s="70"/>
      <c r="D92" s="118"/>
      <c r="E92" s="119"/>
      <c r="G92" s="118"/>
    </row>
    <row r="93" spans="3:7" ht="15.75">
      <c r="C93" s="70"/>
      <c r="D93" s="118"/>
      <c r="E93" s="119"/>
      <c r="G93" s="118"/>
    </row>
    <row r="94" spans="3:7" ht="15.75">
      <c r="C94" s="70"/>
      <c r="D94" s="118"/>
      <c r="E94" s="119"/>
      <c r="G94" s="118"/>
    </row>
    <row r="95" spans="3:7" ht="15.75">
      <c r="C95" s="70"/>
      <c r="D95" s="118"/>
      <c r="E95" s="119"/>
      <c r="G95" s="118"/>
    </row>
    <row r="96" spans="3:7" ht="15.75">
      <c r="C96" s="70"/>
      <c r="D96" s="118"/>
      <c r="E96" s="119"/>
      <c r="G96" s="118"/>
    </row>
    <row r="97" spans="3:7" ht="15.75">
      <c r="C97" s="70"/>
      <c r="D97" s="118"/>
      <c r="E97" s="119"/>
      <c r="G97" s="118"/>
    </row>
    <row r="98" spans="3:7" ht="15.75">
      <c r="C98" s="70"/>
      <c r="D98" s="118"/>
      <c r="E98" s="119"/>
      <c r="G98" s="118"/>
    </row>
    <row r="99" spans="3:7" ht="15.75">
      <c r="C99" s="70"/>
      <c r="D99" s="118"/>
      <c r="E99" s="119"/>
      <c r="G99" s="118"/>
    </row>
    <row r="100" spans="3:7" ht="15.75">
      <c r="C100" s="70"/>
      <c r="D100" s="118"/>
      <c r="E100" s="119"/>
      <c r="G100" s="118"/>
    </row>
    <row r="101" spans="3:7" ht="15.75">
      <c r="C101" s="70"/>
      <c r="D101" s="118"/>
      <c r="E101" s="119"/>
      <c r="G101" s="118"/>
    </row>
    <row r="102" spans="3:7" ht="15.75">
      <c r="C102" s="70"/>
      <c r="D102" s="118"/>
      <c r="E102" s="119"/>
      <c r="G102" s="118"/>
    </row>
    <row r="103" spans="3:7" ht="15.75">
      <c r="C103" s="70"/>
      <c r="D103" s="118"/>
      <c r="E103" s="119"/>
      <c r="G103" s="118"/>
    </row>
    <row r="104" spans="3:7" ht="15.75">
      <c r="C104" s="70"/>
      <c r="D104" s="118"/>
      <c r="E104" s="119"/>
      <c r="G104" s="118"/>
    </row>
    <row r="105" spans="3:7" ht="15.75">
      <c r="C105" s="70"/>
      <c r="D105" s="118"/>
      <c r="E105" s="119"/>
      <c r="G105" s="118"/>
    </row>
    <row r="106" spans="3:7" ht="15.75">
      <c r="C106" s="70"/>
      <c r="D106" s="118"/>
      <c r="E106" s="119"/>
      <c r="G106" s="118"/>
    </row>
    <row r="107" spans="3:7">
      <c r="D107" s="118"/>
      <c r="E107" s="119"/>
      <c r="G107" s="118"/>
    </row>
    <row r="108" spans="3:7">
      <c r="D108" s="118"/>
      <c r="E108" s="119"/>
      <c r="G108" s="118"/>
    </row>
    <row r="109" spans="3:7">
      <c r="D109" s="118"/>
      <c r="E109" s="119"/>
      <c r="G109" s="118"/>
    </row>
    <row r="110" spans="3:7">
      <c r="D110" s="118"/>
      <c r="E110" s="119"/>
      <c r="G110" s="118"/>
    </row>
    <row r="111" spans="3:7">
      <c r="D111" s="118"/>
      <c r="E111" s="119"/>
      <c r="G111" s="118"/>
    </row>
    <row r="112" spans="3:7">
      <c r="D112" s="118"/>
      <c r="E112" s="119"/>
      <c r="G112" s="118"/>
    </row>
    <row r="113" spans="4:7">
      <c r="D113" s="118"/>
      <c r="E113" s="119"/>
      <c r="G113" s="118"/>
    </row>
    <row r="114" spans="4:7">
      <c r="D114" s="118"/>
      <c r="E114" s="119"/>
      <c r="G114" s="118"/>
    </row>
    <row r="115" spans="4:7">
      <c r="D115" s="118"/>
      <c r="E115" s="119"/>
      <c r="G115" s="118"/>
    </row>
    <row r="116" spans="4:7">
      <c r="D116" s="118"/>
      <c r="E116" s="119"/>
      <c r="G116" s="118"/>
    </row>
    <row r="117" spans="4:7">
      <c r="D117" s="118"/>
      <c r="E117" s="119"/>
      <c r="G117" s="118"/>
    </row>
    <row r="118" spans="4:7">
      <c r="D118" s="118"/>
      <c r="E118" s="119"/>
      <c r="G118" s="118"/>
    </row>
    <row r="119" spans="4:7">
      <c r="D119" s="118"/>
      <c r="E119" s="119"/>
      <c r="G119" s="118"/>
    </row>
    <row r="120" spans="4:7">
      <c r="D120" s="118"/>
      <c r="E120" s="119"/>
      <c r="G120" s="118"/>
    </row>
    <row r="121" spans="4:7">
      <c r="D121" s="118"/>
      <c r="E121" s="119"/>
      <c r="G121" s="118"/>
    </row>
    <row r="122" spans="4:7">
      <c r="D122" s="118"/>
      <c r="E122" s="119"/>
      <c r="G122" s="118"/>
    </row>
    <row r="123" spans="4:7">
      <c r="D123" s="118"/>
      <c r="E123" s="119"/>
      <c r="G123" s="118"/>
    </row>
    <row r="124" spans="4:7">
      <c r="D124" s="118"/>
      <c r="E124" s="119"/>
      <c r="G124" s="118"/>
    </row>
    <row r="125" spans="4:7">
      <c r="D125" s="118"/>
      <c r="E125" s="119"/>
      <c r="G125" s="118"/>
    </row>
    <row r="126" spans="4:7">
      <c r="D126" s="118"/>
      <c r="E126" s="119"/>
      <c r="G126" s="118"/>
    </row>
    <row r="127" spans="4:7">
      <c r="D127" s="118"/>
      <c r="E127" s="119"/>
      <c r="G127" s="118"/>
    </row>
    <row r="128" spans="4:7">
      <c r="D128" s="118"/>
      <c r="E128" s="119"/>
      <c r="G128" s="118"/>
    </row>
    <row r="129" spans="4:7">
      <c r="D129" s="118"/>
      <c r="E129" s="119"/>
      <c r="G129" s="118"/>
    </row>
    <row r="130" spans="4:7">
      <c r="D130" s="118"/>
      <c r="E130" s="119"/>
      <c r="G130" s="118"/>
    </row>
    <row r="131" spans="4:7">
      <c r="D131" s="118"/>
      <c r="E131" s="119"/>
      <c r="G131" s="118"/>
    </row>
    <row r="132" spans="4:7">
      <c r="D132" s="118"/>
      <c r="E132" s="119"/>
      <c r="G132" s="118"/>
    </row>
    <row r="133" spans="4:7">
      <c r="D133" s="118"/>
      <c r="E133" s="119"/>
      <c r="G133" s="118"/>
    </row>
    <row r="134" spans="4:7">
      <c r="D134" s="118"/>
      <c r="E134" s="119"/>
      <c r="G134" s="118"/>
    </row>
    <row r="135" spans="4:7">
      <c r="D135" s="118"/>
      <c r="E135" s="119"/>
      <c r="G135" s="11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CC18D7-B125-49E1-96A2-56F5E7516D35}"/>
</file>

<file path=customXml/itemProps2.xml><?xml version="1.0" encoding="utf-8"?>
<ds:datastoreItem xmlns:ds="http://schemas.openxmlformats.org/officeDocument/2006/customXml" ds:itemID="{38197FE8-23CB-48DF-BDDD-18460505D831}"/>
</file>

<file path=customXml/itemProps3.xml><?xml version="1.0" encoding="utf-8"?>
<ds:datastoreItem xmlns:ds="http://schemas.openxmlformats.org/officeDocument/2006/customXml" ds:itemID="{4C1E9D4A-8582-4E37-9863-EB34AE7D93A0}"/>
</file>

<file path=docMetadata/LabelInfo.xml><?xml version="1.0" encoding="utf-8"?>
<clbl:labelList xmlns:clbl="http://schemas.microsoft.com/office/2020/mipLabelMetadata">
  <clbl:label id="{7b72dd6e-c27c-4639-b124-2b12953460bf}" enabled="0" method="" siteId="{7b72dd6e-c27c-4639-b124-2b12953460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Candidate #</vt:lpstr>
      <vt:lpstr>Q5</vt:lpstr>
      <vt:lpstr>BS</vt:lpstr>
      <vt:lpstr>Q7 Solution</vt:lpstr>
      <vt:lpstr>Q9 (b) (c) solution</vt:lpstr>
      <vt:lpstr>Q9 (d) solution</vt:lpstr>
      <vt:lpstr>BS!_d1</vt:lpstr>
      <vt:lpstr>BS!_d2</vt:lpstr>
      <vt:lpstr>Div</vt:lpstr>
      <vt:lpstr>BS!N_d1</vt:lpstr>
      <vt:lpstr>BS!N_d2</vt:lpstr>
      <vt:lpstr>BS!N_minusd1</vt:lpstr>
      <vt:lpstr>BS!N_minusd2</vt:lpstr>
      <vt:lpstr>Rf</vt:lpstr>
      <vt:lpstr>Sigma</vt:lpstr>
      <vt:lpstr>BS!StrikeRatio</vt:lpstr>
      <vt:lpstr>BS!T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timothy yi</cp:lastModifiedBy>
  <dcterms:created xsi:type="dcterms:W3CDTF">2024-06-08T19:17:17Z</dcterms:created>
  <dcterms:modified xsi:type="dcterms:W3CDTF">2025-07-20T17:48:43Z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0b5d98-aa4b-42ad-b5be-1e75bbcbb7d7_Enabled">
    <vt:lpwstr>true</vt:lpwstr>
  </property>
  <property fmtid="{D5CDD505-2E9C-101B-9397-08002B2CF9AE}" pid="3" name="MSIP_Label_8f0b5d98-aa4b-42ad-b5be-1e75bbcbb7d7_SetDate">
    <vt:lpwstr>2025-05-15T03:08:58Z</vt:lpwstr>
  </property>
  <property fmtid="{D5CDD505-2E9C-101B-9397-08002B2CF9AE}" pid="4" name="MSIP_Label_8f0b5d98-aa4b-42ad-b5be-1e75bbcbb7d7_Method">
    <vt:lpwstr>Standard</vt:lpwstr>
  </property>
  <property fmtid="{D5CDD505-2E9C-101B-9397-08002B2CF9AE}" pid="5" name="MSIP_Label_8f0b5d98-aa4b-42ad-b5be-1e75bbcbb7d7_Name">
    <vt:lpwstr>Internal-pilot</vt:lpwstr>
  </property>
  <property fmtid="{D5CDD505-2E9C-101B-9397-08002B2CF9AE}" pid="6" name="MSIP_Label_8f0b5d98-aa4b-42ad-b5be-1e75bbcbb7d7_SiteId">
    <vt:lpwstr>a651e8f0-93d2-41c2-88b6-e8c5a1ad2375</vt:lpwstr>
  </property>
  <property fmtid="{D5CDD505-2E9C-101B-9397-08002B2CF9AE}" pid="7" name="MSIP_Label_8f0b5d98-aa4b-42ad-b5be-1e75bbcbb7d7_ActionId">
    <vt:lpwstr>0ba6832b-452d-4377-b265-aec62ba54d69</vt:lpwstr>
  </property>
  <property fmtid="{D5CDD505-2E9C-101B-9397-08002B2CF9AE}" pid="8" name="MSIP_Label_8f0b5d98-aa4b-42ad-b5be-1e75bbcbb7d7_ContentBits">
    <vt:lpwstr>0</vt:lpwstr>
  </property>
  <property fmtid="{D5CDD505-2E9C-101B-9397-08002B2CF9AE}" pid="9" name="MSIP_Label_8f0b5d98-aa4b-42ad-b5be-1e75bbcbb7d7_Tag">
    <vt:lpwstr>10, 3, 0, 1</vt:lpwstr>
  </property>
  <property fmtid="{D5CDD505-2E9C-101B-9397-08002B2CF9AE}" pid="10" name="{A44787D4-0540-4523-9961-78E4036D8C6D}">
    <vt:lpwstr>{C55D897E-F4B4-47E2-9561-A9FE9DB6AC6B}</vt:lpwstr>
  </property>
  <property fmtid="{D5CDD505-2E9C-101B-9397-08002B2CF9AE}" pid="11" name="ContentTypeId">
    <vt:lpwstr>0x010100A13D16CE4023BB4BB4110DFC2802C897</vt:lpwstr>
  </property>
</Properties>
</file>