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Q:\Aleshia\Spring 2022 solutions\"/>
    </mc:Choice>
  </mc:AlternateContent>
  <xr:revisionPtr revIDLastSave="0" documentId="8_{CB973F5E-A69A-4A8E-978D-07E36D4D2BD9}" xr6:coauthVersionLast="47" xr6:coauthVersionMax="47" xr10:uidLastSave="{00000000-0000-0000-0000-000000000000}"/>
  <bookViews>
    <workbookView xWindow="36000" yWindow="0" windowWidth="21600" windowHeight="11325" activeTab="1" xr2:uid="{AA82D220-036C-4427-8446-7DA833607F2A}"/>
  </bookViews>
  <sheets>
    <sheet name="5a" sheetId="2" r:id="rId1"/>
    <sheet name="LFMU-Q6" sheetId="3" r:id="rId2"/>
  </sheets>
  <externalReferences>
    <externalReference r:id="rId3"/>
    <externalReference r:id="rId4"/>
    <externalReference r:id="rId5"/>
    <externalReference r:id="rId6"/>
    <externalReference r:id="rId7"/>
  </externalReferences>
  <definedNames>
    <definedName name="\Z">#REF!</definedName>
    <definedName name="\Za">#REF!</definedName>
    <definedName name="__123Graph_BCHART91a" hidden="1">[1]Input!#REF!</definedName>
    <definedName name="_Fill" hidden="1">#REF!</definedName>
    <definedName name="_IV100000">#REF!</definedName>
    <definedName name="_max8">#REF!</definedName>
    <definedName name="_min8">#REF!</definedName>
    <definedName name="_V122544">#REF!</definedName>
    <definedName name="Base">#REF!</definedName>
    <definedName name="chicago">'[2]SZ-1-2013 (MH)'!$B$9:$B$16</definedName>
    <definedName name="CLIFR">#REF!</definedName>
    <definedName name="CognitiveLevels" localSheetId="1">'[3]syllabus list'!$C$159:$C$162</definedName>
    <definedName name="CognitiveLevels">'[4]syllabus list'!$C$159:$C$162</definedName>
    <definedName name="cycle" localSheetId="1">#REF!</definedName>
    <definedName name="cycle">#REF!</definedName>
    <definedName name="cycle3" localSheetId="1">#REF!</definedName>
    <definedName name="cycle3">#REF!</definedName>
    <definedName name="Cycle5" localSheetId="1">#REF!</definedName>
    <definedName name="Cycle5">#REF!</definedName>
    <definedName name="CycleTable">#REF!</definedName>
    <definedName name="DATE">#REF!</definedName>
    <definedName name="DELETE_RANGE">#REF!</definedName>
    <definedName name="ERR">#REF!</definedName>
    <definedName name="EXTRA_TESTS">#REF!</definedName>
    <definedName name="FSSplit">#REF!</definedName>
    <definedName name="GETDATA">#REF!</definedName>
    <definedName name="GOV10YBO">#REF!</definedName>
    <definedName name="GOV15YBO">#REF!</definedName>
    <definedName name="GOV1YBO">#REF!</definedName>
    <definedName name="GOV20YBO">#REF!</definedName>
    <definedName name="GOV2YBO">#REF!</definedName>
    <definedName name="GOV3YBO">#REF!</definedName>
    <definedName name="GOV4YBO">#REF!</definedName>
    <definedName name="GOV5YBO">#REF!</definedName>
    <definedName name="GOV7YBO">#REF!</definedName>
    <definedName name="INPUT1">#REF!</definedName>
    <definedName name="INPUT1_CODE">#REF!</definedName>
    <definedName name="INPUT1_ID">#REF!</definedName>
    <definedName name="INPUT1_PASSWORD">#REF!</definedName>
    <definedName name="INPUT1_VALN_DAT">#REF!</definedName>
    <definedName name="INTQ">#REF!</definedName>
    <definedName name="INTR">#REF!</definedName>
    <definedName name="INVERTED_TEST15">#REF!</definedName>
    <definedName name="INVERTED_TEST1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ngMax">#REF!</definedName>
    <definedName name="LongMaxAdj">#REF!</definedName>
    <definedName name="LongMaxAdjRate">#REF!</definedName>
    <definedName name="LongMaxMA">#REF!</definedName>
    <definedName name="LongMaxRange">#REF!</definedName>
    <definedName name="LongMin">#REF!</definedName>
    <definedName name="LongMinAdj">#REF!</definedName>
    <definedName name="LongMinAdjRate">#REF!</definedName>
    <definedName name="LongMinMA">#REF!</definedName>
    <definedName name="LongMinRange">#REF!</definedName>
    <definedName name="LongTermWeight">#REF!</definedName>
    <definedName name="MAXIMUM_RATE">#REF!</definedName>
    <definedName name="MaxRate">#REF!</definedName>
    <definedName name="MINIMUM_RATE">#REF!</definedName>
    <definedName name="MinRate">#REF!</definedName>
    <definedName name="P_S_RESULT">#REF!</definedName>
    <definedName name="PRESCRIB_TEST17">#REF!</definedName>
    <definedName name="PRESCRIB_TEST18">#REF!</definedName>
    <definedName name="PRESCRIB_TEST19">#REF!</definedName>
    <definedName name="PRESCRIB_TEST20">#REF!</definedName>
    <definedName name="PRINT_IND">#REF!</definedName>
    <definedName name="PRINT_NOW">#REF!</definedName>
    <definedName name="PRINT_SELECTION">#REF!</definedName>
    <definedName name="PrintRate">#REF!</definedName>
    <definedName name="PRNT_SPOT_RATES">#REF!</definedName>
    <definedName name="PRT_ALL_TESTS">#REF!</definedName>
    <definedName name="PRT_INDICATORS">#REF!</definedName>
    <definedName name="PRT_INVERTED">#REF!</definedName>
    <definedName name="PRT_NOTHING">#REF!</definedName>
    <definedName name="PRT_PRESCRIBED">#REF!</definedName>
    <definedName name="PRT_REGULAR">#REF!</definedName>
    <definedName name="PRT_SELECT_ALL">#REF!</definedName>
    <definedName name="PRT_SELECTIONS">#REF!</definedName>
    <definedName name="PRT_SPOT_RATES">#REF!</definedName>
    <definedName name="Q_sources">#REF!</definedName>
    <definedName name="RateTable">#REF!</definedName>
    <definedName name="RegTable">#REF!</definedName>
    <definedName name="REGULAR_TEST1">#REF!</definedName>
    <definedName name="REGULAR_TEST10">#REF!</definedName>
    <definedName name="REGULAR_TEST11">#REF!</definedName>
    <definedName name="REGULAR_TEST12">#REF!</definedName>
    <definedName name="REGULAR_TEST13">#REF!</definedName>
    <definedName name="REGULAR_TEST14">#REF!</definedName>
    <definedName name="REGULAR_TEST2">#REF!</definedName>
    <definedName name="REGULAR_TEST3">#REF!</definedName>
    <definedName name="REGULAR_TEST4">#REF!</definedName>
    <definedName name="REGULAR_TEST5">#REF!</definedName>
    <definedName name="REGULAR_TEST6">#REF!</definedName>
    <definedName name="REGULAR_TEST7">#REF!</definedName>
    <definedName name="REGULAR_TEST8">#REF!</definedName>
    <definedName name="REGULAR_TEST9">#REF!</definedName>
    <definedName name="ScenTable">#REF!</definedName>
    <definedName name="SETDATE">#REF!</definedName>
    <definedName name="ShortMax">#REF!</definedName>
    <definedName name="ShortMaxAdj">#REF!</definedName>
    <definedName name="ShortMaxAdjRate">#REF!</definedName>
    <definedName name="ShortMaxMA">#REF!</definedName>
    <definedName name="ShortMaxRange">#REF!</definedName>
    <definedName name="ShortMin">#REF!</definedName>
    <definedName name="ShortMinAdj">#REF!</definedName>
    <definedName name="ShortMinAdjRate">#REF!</definedName>
    <definedName name="ShortMinMA">#REF!</definedName>
    <definedName name="ShortMinRange">#REF!</definedName>
    <definedName name="ShortTermWeight">#REF!</definedName>
    <definedName name="ST_Med">'[5]Input - Entrée de données'!#REF!</definedName>
    <definedName name="Step" localSheetId="1">#REF!</definedName>
    <definedName name="Step">#REF!</definedName>
    <definedName name="StepTable" localSheetId="1">#REF!</definedName>
    <definedName name="StepTable">#REF!</definedName>
    <definedName name="SyllabusListing" localSheetId="1">'[3]syllabus list'!$D$4:$D$151</definedName>
    <definedName name="SyllabusListing">'[4]syllabus list'!$D$4:$D$151</definedName>
    <definedName name="TBILL1M" localSheetId="1">#REF!</definedName>
    <definedName name="TBILL1M">#REF!</definedName>
    <definedName name="TBILL2M" localSheetId="1">#REF!</definedName>
    <definedName name="TBILL2M">#REF!</definedName>
    <definedName name="TBILL3M" localSheetId="1">#REF!</definedName>
    <definedName name="TBILL3M">#REF!</definedName>
    <definedName name="TBILL6M">#REF!</definedName>
    <definedName name="TEST_10_INCR">#REF!</definedName>
    <definedName name="TEST_11_DECR">#REF!</definedName>
    <definedName name="TEST_17_INV_">#REF!</definedName>
    <definedName name="TEST_17_STEEP_">#REF!</definedName>
    <definedName name="TEST_3_CHGE">#REF!</definedName>
    <definedName name="TEST_4_INCR">#REF!</definedName>
    <definedName name="TEST_6_INCREASE">#REF!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ITLE1">#REF!</definedName>
    <definedName name="TITLE10">#REF!</definedName>
    <definedName name="TITLE11">#REF!</definedName>
    <definedName name="TITLE16">#REF!</definedName>
    <definedName name="TITLE17">#REF!</definedName>
    <definedName name="TITLE18">#REF!</definedName>
    <definedName name="TITLE2">#REF!</definedName>
    <definedName name="TITLE21">#REF!</definedName>
    <definedName name="TITLE3">#REF!</definedName>
    <definedName name="TITLE4">#REF!</definedName>
    <definedName name="TITLE5">#REF!</definedName>
    <definedName name="TITLE6">#REF!</definedName>
    <definedName name="TITLE8">#REF!</definedName>
    <definedName name="TITLE9">#REF!</definedName>
    <definedName name="VALN_DATE">#REF!</definedName>
    <definedName name="VALUATION_DATE">#REF!</definedName>
    <definedName name="Yield01">#REF!</definedName>
    <definedName name="Yield02">#REF!</definedName>
    <definedName name="Yield03">#REF!</definedName>
    <definedName name="Yield04">#REF!</definedName>
    <definedName name="Yield05">#REF!</definedName>
    <definedName name="Yield06">#REF!</definedName>
    <definedName name="Yield07">#REF!</definedName>
    <definedName name="Yield08">#REF!</definedName>
    <definedName name="Yield09">#REF!</definedName>
    <definedName name="Yield10">#REF!</definedName>
    <definedName name="Yield11">#REF!</definedName>
    <definedName name="Yield12">#REF!</definedName>
    <definedName name="Yield13">#REF!</definedName>
    <definedName name="Yield14">#REF!</definedName>
    <definedName name="Yield15">#REF!</definedName>
    <definedName name="Yield16">#REF!</definedName>
    <definedName name="Yield17">#REF!</definedName>
    <definedName name="Yield18">#REF!</definedName>
    <definedName name="Yield19">#REF!</definedName>
    <definedName name="Yield20">#REF!</definedName>
    <definedName name="YieldCur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 l="1"/>
  <c r="H4" i="3"/>
  <c r="B5" i="3"/>
  <c r="G5" i="3" s="1"/>
  <c r="H5" i="3"/>
  <c r="B6" i="3"/>
  <c r="B7" i="3" s="1"/>
  <c r="G6" i="3"/>
  <c r="H6" i="3"/>
  <c r="G20" i="3"/>
  <c r="H20" i="3"/>
  <c r="B21" i="3"/>
  <c r="G21" i="3" s="1"/>
  <c r="H21" i="3"/>
  <c r="D22" i="3"/>
  <c r="H39" i="3"/>
  <c r="G43" i="3"/>
  <c r="G44" i="3"/>
  <c r="I45" i="3" s="1"/>
  <c r="G56" i="3"/>
  <c r="G61" i="3"/>
  <c r="G7" i="3" l="1"/>
  <c r="H7" i="3"/>
  <c r="B8" i="3"/>
  <c r="B22" i="3"/>
  <c r="D51" i="2"/>
  <c r="D50" i="2"/>
  <c r="D49" i="2"/>
  <c r="D48" i="2"/>
  <c r="D47" i="2"/>
  <c r="D46" i="2"/>
  <c r="D45" i="2"/>
  <c r="I44" i="2"/>
  <c r="H44" i="2"/>
  <c r="D44" i="2"/>
  <c r="F32" i="2"/>
  <c r="D32" i="2"/>
  <c r="C32" i="2"/>
  <c r="C66" i="2" s="1"/>
  <c r="F31" i="2"/>
  <c r="F65" i="2" s="1"/>
  <c r="D31" i="2"/>
  <c r="C31" i="2"/>
  <c r="C50" i="2" s="1"/>
  <c r="F30" i="2"/>
  <c r="F64" i="2" s="1"/>
  <c r="D30" i="2"/>
  <c r="C30" i="2"/>
  <c r="C49" i="2" s="1"/>
  <c r="F29" i="2"/>
  <c r="D29" i="2"/>
  <c r="D63" i="2" s="1"/>
  <c r="C29" i="2"/>
  <c r="C48" i="2" s="1"/>
  <c r="F28" i="2"/>
  <c r="F62" i="2" s="1"/>
  <c r="D28" i="2"/>
  <c r="C28" i="2"/>
  <c r="F27" i="2"/>
  <c r="D27" i="2"/>
  <c r="C27" i="2"/>
  <c r="C46" i="2" s="1"/>
  <c r="F26" i="2"/>
  <c r="F60" i="2" s="1"/>
  <c r="D26" i="2"/>
  <c r="C26" i="2"/>
  <c r="C45" i="2" s="1"/>
  <c r="F25" i="2"/>
  <c r="F59" i="2" s="1"/>
  <c r="D25" i="2"/>
  <c r="C25" i="2"/>
  <c r="D22" i="2"/>
  <c r="E13" i="2"/>
  <c r="E32" i="2" s="1"/>
  <c r="E12" i="2"/>
  <c r="E31" i="2" s="1"/>
  <c r="E11" i="2"/>
  <c r="E30" i="2" s="1"/>
  <c r="E10" i="2"/>
  <c r="E29" i="2" s="1"/>
  <c r="E9" i="2"/>
  <c r="E28" i="2" s="1"/>
  <c r="E8" i="2"/>
  <c r="E27" i="2" s="1"/>
  <c r="E7" i="2"/>
  <c r="E26" i="2" s="1"/>
  <c r="E6" i="2"/>
  <c r="E25" i="2" s="1"/>
  <c r="H22" i="3" l="1"/>
  <c r="B23" i="3"/>
  <c r="G22" i="3"/>
  <c r="G8" i="3"/>
  <c r="G10" i="3" s="1"/>
  <c r="H8" i="3"/>
  <c r="E59" i="2"/>
  <c r="G79" i="2" s="1"/>
  <c r="J44" i="2"/>
  <c r="K51" i="2" s="1"/>
  <c r="G25" i="2"/>
  <c r="G28" i="2"/>
  <c r="D62" i="2"/>
  <c r="G26" i="2"/>
  <c r="F63" i="2"/>
  <c r="G31" i="2"/>
  <c r="E60" i="2"/>
  <c r="C64" i="2"/>
  <c r="G32" i="2"/>
  <c r="C60" i="2"/>
  <c r="C65" i="2"/>
  <c r="D65" i="2"/>
  <c r="C61" i="2"/>
  <c r="D66" i="2"/>
  <c r="D61" i="2"/>
  <c r="E62" i="2"/>
  <c r="E61" i="2"/>
  <c r="E63" i="2"/>
  <c r="E66" i="2"/>
  <c r="C59" i="2"/>
  <c r="F77" i="2" s="1"/>
  <c r="D64" i="2"/>
  <c r="F66" i="2"/>
  <c r="G30" i="2"/>
  <c r="C47" i="2"/>
  <c r="C51" i="2"/>
  <c r="D59" i="2"/>
  <c r="F61" i="2"/>
  <c r="C62" i="2"/>
  <c r="E64" i="2"/>
  <c r="G29" i="2"/>
  <c r="I25" i="2"/>
  <c r="G27" i="2"/>
  <c r="D60" i="2"/>
  <c r="C63" i="2"/>
  <c r="E65" i="2"/>
  <c r="C44" i="2"/>
  <c r="G23" i="3" l="1"/>
  <c r="H23" i="3"/>
  <c r="B24" i="3"/>
  <c r="H10" i="3"/>
  <c r="G11" i="3" s="1"/>
  <c r="K48" i="2"/>
  <c r="K49" i="2"/>
  <c r="K44" i="2"/>
  <c r="L44" i="2" s="1"/>
  <c r="F84" i="2" s="1"/>
  <c r="K45" i="2"/>
  <c r="K50" i="2"/>
  <c r="K46" i="2"/>
  <c r="K47" i="2"/>
  <c r="H25" i="2"/>
  <c r="J25" i="2" s="1"/>
  <c r="K28" i="2" s="1"/>
  <c r="G66" i="2"/>
  <c r="G65" i="2"/>
  <c r="G62" i="2"/>
  <c r="G60" i="2"/>
  <c r="G63" i="2"/>
  <c r="G61" i="2"/>
  <c r="G64" i="2"/>
  <c r="G59" i="2"/>
  <c r="G78" i="2"/>
  <c r="G24" i="3" l="1"/>
  <c r="G26" i="3" s="1"/>
  <c r="H24" i="3"/>
  <c r="K7" i="3"/>
  <c r="K8" i="3"/>
  <c r="K6" i="3"/>
  <c r="E8" i="3"/>
  <c r="F4" i="3"/>
  <c r="F5" i="3" s="1"/>
  <c r="K4" i="3"/>
  <c r="K5" i="3"/>
  <c r="E6" i="3"/>
  <c r="E5" i="3"/>
  <c r="I5" i="3" s="1"/>
  <c r="J5" i="3" s="1"/>
  <c r="E4" i="3"/>
  <c r="I4" i="3" s="1"/>
  <c r="J4" i="3" s="1"/>
  <c r="E7" i="3"/>
  <c r="I7" i="3" s="1"/>
  <c r="J7" i="3" s="1"/>
  <c r="L45" i="2"/>
  <c r="L46" i="2" s="1"/>
  <c r="L47" i="2" s="1"/>
  <c r="L48" i="2" s="1"/>
  <c r="L49" i="2" s="1"/>
  <c r="L50" i="2" s="1"/>
  <c r="L51" i="2" s="1"/>
  <c r="E85" i="2"/>
  <c r="K29" i="2"/>
  <c r="K25" i="2"/>
  <c r="L25" i="2" s="1"/>
  <c r="K32" i="2"/>
  <c r="K31" i="2"/>
  <c r="K30" i="2"/>
  <c r="K27" i="2"/>
  <c r="K26" i="2"/>
  <c r="D76" i="2"/>
  <c r="I8" i="3" l="1"/>
  <c r="J8" i="3" s="1"/>
  <c r="F6" i="3"/>
  <c r="G57" i="3"/>
  <c r="G62" i="3" s="1"/>
  <c r="G12" i="3"/>
  <c r="G46" i="3"/>
  <c r="G49" i="3" s="1"/>
  <c r="G33" i="3"/>
  <c r="I6" i="3"/>
  <c r="J6" i="3" s="1"/>
  <c r="E23" i="3"/>
  <c r="E21" i="3"/>
  <c r="H26" i="3"/>
  <c r="G27" i="3" s="1"/>
  <c r="K59" i="2"/>
  <c r="G83" i="2"/>
  <c r="H59" i="2"/>
  <c r="D82" i="2"/>
  <c r="L26" i="2"/>
  <c r="K22" i="3" l="1"/>
  <c r="F20" i="3"/>
  <c r="F21" i="3" s="1"/>
  <c r="K20" i="3"/>
  <c r="E24" i="3"/>
  <c r="I24" i="3" s="1"/>
  <c r="J24" i="3" s="1"/>
  <c r="K21" i="3"/>
  <c r="K23" i="3"/>
  <c r="K24" i="3"/>
  <c r="E20" i="3"/>
  <c r="I20" i="3" s="1"/>
  <c r="J20" i="3" s="1"/>
  <c r="E22" i="3"/>
  <c r="I22" i="3" s="1"/>
  <c r="J22" i="3" s="1"/>
  <c r="G58" i="3"/>
  <c r="H59" i="3" s="1"/>
  <c r="G47" i="3"/>
  <c r="H48" i="3" s="1"/>
  <c r="F7" i="3"/>
  <c r="F8" i="3" s="1"/>
  <c r="I21" i="3"/>
  <c r="J21" i="3" s="1"/>
  <c r="H60" i="2"/>
  <c r="L27" i="2"/>
  <c r="I59" i="2"/>
  <c r="J59" i="2" s="1"/>
  <c r="L59" i="2" s="1"/>
  <c r="K60" i="2"/>
  <c r="G34" i="3" l="1"/>
  <c r="F22" i="3"/>
  <c r="I23" i="3"/>
  <c r="J23" i="3" s="1"/>
  <c r="L28" i="2"/>
  <c r="H61" i="2"/>
  <c r="I61" i="2" s="1"/>
  <c r="I60" i="2"/>
  <c r="J60" i="2" s="1"/>
  <c r="L60" i="2" s="1"/>
  <c r="K61" i="2"/>
  <c r="G36" i="3" l="1"/>
  <c r="H35" i="3"/>
  <c r="F23" i="3"/>
  <c r="F24" i="3" s="1"/>
  <c r="G63" i="3"/>
  <c r="H64" i="3" s="1"/>
  <c r="I66" i="3" s="1"/>
  <c r="G28" i="3"/>
  <c r="G37" i="3"/>
  <c r="H38" i="3" s="1"/>
  <c r="G50" i="3"/>
  <c r="H51" i="3" s="1"/>
  <c r="I52" i="3" s="1"/>
  <c r="I53" i="3" s="1"/>
  <c r="J61" i="2"/>
  <c r="L61" i="2" s="1"/>
  <c r="K62" i="2"/>
  <c r="L29" i="2"/>
  <c r="H62" i="2"/>
  <c r="H40" i="3" l="1"/>
  <c r="I62" i="2"/>
  <c r="J62" i="2" s="1"/>
  <c r="L62" i="2" s="1"/>
  <c r="K63" i="2"/>
  <c r="L30" i="2"/>
  <c r="H63" i="2"/>
  <c r="I63" i="2" l="1"/>
  <c r="J63" i="2" s="1"/>
  <c r="L63" i="2" s="1"/>
  <c r="K64" i="2"/>
  <c r="H64" i="2"/>
  <c r="L31" i="2"/>
  <c r="I64" i="2" l="1"/>
  <c r="J64" i="2" s="1"/>
  <c r="L64" i="2" s="1"/>
  <c r="K65" i="2"/>
  <c r="L32" i="2"/>
  <c r="H66" i="2" s="1"/>
  <c r="H65" i="2"/>
  <c r="I65" i="2" l="1"/>
  <c r="J65" i="2" s="1"/>
  <c r="L65" i="2" s="1"/>
  <c r="K66" i="2"/>
  <c r="I66" i="2"/>
  <c r="J66" i="2" s="1"/>
  <c r="L66" i="2" l="1"/>
</calcChain>
</file>

<file path=xl/sharedStrings.xml><?xml version="1.0" encoding="utf-8"?>
<sst xmlns="http://schemas.openxmlformats.org/spreadsheetml/2006/main" count="227" uniqueCount="118">
  <si>
    <t>Question 5</t>
  </si>
  <si>
    <t>(a)</t>
  </si>
  <si>
    <t>Calculate the following as required by FASB ASC 944 (formerly FASB 113) based on TOB’s product cashflow projections:</t>
  </si>
  <si>
    <t>(i)   Reinsurance Benefit Reserve Adjustment at the end of each year.</t>
  </si>
  <si>
    <t>Expected Direct Gross Premium</t>
  </si>
  <si>
    <t>Expected Reinsurance Reimbursement</t>
  </si>
  <si>
    <t>Ceding Commission</t>
  </si>
  <si>
    <t>Year 1</t>
  </si>
  <si>
    <t>Year 2</t>
  </si>
  <si>
    <t>Year 3</t>
  </si>
  <si>
    <t>Year 4</t>
  </si>
  <si>
    <t>Year 5</t>
  </si>
  <si>
    <t>Year 6</t>
  </si>
  <si>
    <t>Year 7</t>
  </si>
  <si>
    <t>Year 8</t>
  </si>
  <si>
    <t>full year's interest:</t>
  </si>
  <si>
    <t>half year's interest</t>
  </si>
  <si>
    <t>Expected Reinsurance Premium</t>
  </si>
  <si>
    <t>Expected Net Reinsurance Reimbursements</t>
  </si>
  <si>
    <t>PV of Expected Reinsurance Reimbursements</t>
  </si>
  <si>
    <t>PV of Expected Gross Premium</t>
  </si>
  <si>
    <t>Net Valuation Premium of the Reinsurance CF %</t>
  </si>
  <si>
    <t>Net Valuation Premium of the Reinsurance CF</t>
  </si>
  <si>
    <t>Reinsurance Benefit Reserve Adjustment at end of year</t>
  </si>
  <si>
    <t>&lt;= answer for i)</t>
  </si>
  <si>
    <t>PV of Expected Ceding Commission</t>
  </si>
  <si>
    <t>Net Valuation Premium of the Ceding Commission %</t>
  </si>
  <si>
    <t>Net Valuation Premium of the Ceding Commission</t>
  </si>
  <si>
    <t>Reinsurance Expense Reserve Adjustment at end of year</t>
  </si>
  <si>
    <t>&lt;= answer for ii)</t>
  </si>
  <si>
    <t>Expected Cash Flows In (Out)</t>
  </si>
  <si>
    <t>Reinsurance Reserve Adjustment at end of year</t>
  </si>
  <si>
    <t>Change in Reinsurance Reserve Adjustment at end of year</t>
  </si>
  <si>
    <t>Adjusted net CoR before interest</t>
  </si>
  <si>
    <t>Adjusted net Interest Component</t>
  </si>
  <si>
    <t>Cost of Reinsurance after Interest</t>
  </si>
  <si>
    <t>&lt;= answer for iii)</t>
  </si>
  <si>
    <t xml:space="preserve">Year 1 </t>
  </si>
  <si>
    <t>Balance Sheet</t>
  </si>
  <si>
    <t>Income Statement</t>
  </si>
  <si>
    <t>Debit</t>
  </si>
  <si>
    <t>Credit</t>
  </si>
  <si>
    <t>Recognition of the Cashflows</t>
  </si>
  <si>
    <t>Cash</t>
  </si>
  <si>
    <t>Y1 Reinsurance CF</t>
  </si>
  <si>
    <t>Premiums Ceded</t>
  </si>
  <si>
    <t>Y1 Reinsurance Premium</t>
  </si>
  <si>
    <t>Benefits Incurred</t>
  </si>
  <si>
    <t>Y1 Reinsurance Reimbursement</t>
  </si>
  <si>
    <t>Amortization of Acquisition Costs</t>
  </si>
  <si>
    <t>Y1 Commission</t>
  </si>
  <si>
    <t>Recognition of the Adj. to net COR</t>
  </si>
  <si>
    <t>Reinsurance Recoverable</t>
  </si>
  <si>
    <t>EOY1 Benefit Rsv Adj</t>
  </si>
  <si>
    <t>EOY1 Expense Rsv Adj</t>
  </si>
  <si>
    <t>Deferred Policy Acquisition Costs</t>
  </si>
  <si>
    <t>CF occurred @ EOY</t>
  </si>
  <si>
    <t>Commentary on Question:</t>
  </si>
  <si>
    <t>(ii)   Reinsurance Expense Reserve Adjustment at the end of each year.</t>
  </si>
  <si>
    <t>(iii)   Cost of Reinsurance after Interest at the end of each year.</t>
  </si>
  <si>
    <t>Few candidates identified the change in reserve adjustment and expected net cash flows.</t>
  </si>
  <si>
    <t>(iv)   Fill in the effects of the net cost of reinsurance on TOB’s year 1 balance sheet and income statement in the applicable cells below</t>
  </si>
  <si>
    <t>Candidates generally used the right approach for the calculation.</t>
  </si>
  <si>
    <t>The reinsurance benefit reserve adjustment at end of year calculation formula can be found at page 67 of the source material.</t>
  </si>
  <si>
    <t xml:space="preserve">Common errors included using the reinsurance premium instead of gross premium; having the wrong sign for the cashflow adjustments; and not deducting the reinsurance premium from the reinsurance reimbursement calculation. </t>
  </si>
  <si>
    <t>Simplified half year interest is applied for cash flow in the model solution. However, candidates that applied full year interest or compound half year interest on cash flow correctly received full credit.</t>
  </si>
  <si>
    <t>Common errors included using the reinsurance premium instead of gross premium; and having the wrong sign for the cashflow adjustments.</t>
  </si>
  <si>
    <t>Candidates generally did not do well on part (iii); many candidates simply provided either the total of reinsurance benefit reserve adjustment and expense reserve adjustment or the expected net cashflows as the answer,</t>
  </si>
  <si>
    <t>Most candidates struggled with part (iv). Candidates in general were not familiar with financial statements.</t>
  </si>
  <si>
    <t>Total Impact to GAAP Income in Year 3 (assuming change to investment income = 0)</t>
  </si>
  <si>
    <t>Total Benefits Expense in Year 3 After Change in Assumption</t>
  </si>
  <si>
    <t>Revised Reserve at End of Year 3</t>
  </si>
  <si>
    <t>Original Reserve at Beginning of Year 3</t>
  </si>
  <si>
    <t>Revised Benefits and Expenses Paid in Year 3</t>
  </si>
  <si>
    <t>Total Benefits Expense in Year 3 Prior to Change in Assumption</t>
  </si>
  <si>
    <t>Original Reserve at End of Year 3</t>
  </si>
  <si>
    <t>Orignal Reserve at Beginning of Year 3</t>
  </si>
  <si>
    <t>Original Benefits and Expenses Paid in Year 3</t>
  </si>
  <si>
    <t>Double-Check on Total Impact to GAAP Income</t>
  </si>
  <si>
    <t>(C) (iv)</t>
  </si>
  <si>
    <t>Impact to GAAP Income due to Revised Reserves at End of Year 3</t>
  </si>
  <si>
    <t>Actual Impact to GAAP Income due to Revised Change in Reserve in Year 3</t>
  </si>
  <si>
    <t>Impact to GAAP income due to Original Change in Reserve in Year 3</t>
  </si>
  <si>
    <t>Impact to GAAP Income from Change in Benefits and Expenses Paid in Year 3</t>
  </si>
  <si>
    <t>Total Impact to GAAP Income</t>
  </si>
  <si>
    <t>Total Benefit Expense in Year 3</t>
  </si>
  <si>
    <t>(C) (iii)</t>
  </si>
  <si>
    <t>Benefits and Expenses Paid in Year 3</t>
  </si>
  <si>
    <t>Change in Reserve</t>
  </si>
  <si>
    <t>(C) (ii)</t>
  </si>
  <si>
    <t>Remeasured Reserve at End of Year 3</t>
  </si>
  <si>
    <t>Remeasured Reserve at Beginning of Year 3</t>
  </si>
  <si>
    <t>Remeasurement Loss</t>
  </si>
  <si>
    <t>(C) (i)</t>
  </si>
  <si>
    <t>LFPB at year 3</t>
  </si>
  <si>
    <t>Net Premium Ratio</t>
  </si>
  <si>
    <t>Total Present Value</t>
  </si>
  <si>
    <t xml:space="preserve">   Increase Benefits and Expenses Paid in Year 3 by 15%</t>
  </si>
  <si>
    <t>Income includes investment income.</t>
  </si>
  <si>
    <t>% of Premium</t>
  </si>
  <si>
    <t>Income</t>
  </si>
  <si>
    <t>Expenses Paid</t>
  </si>
  <si>
    <t>Premiums Received</t>
  </si>
  <si>
    <t>Balance</t>
  </si>
  <si>
    <t>EOY</t>
  </si>
  <si>
    <t>Premium Received  BOY</t>
  </si>
  <si>
    <t>Year</t>
  </si>
  <si>
    <t>Income as</t>
  </si>
  <si>
    <t>Benefits and</t>
  </si>
  <si>
    <t>PV</t>
  </si>
  <si>
    <t>Reserve</t>
  </si>
  <si>
    <t>Interest Discount Rate</t>
  </si>
  <si>
    <t>Retrospective</t>
  </si>
  <si>
    <t>Prospective</t>
  </si>
  <si>
    <t>Benefit and</t>
  </si>
  <si>
    <t>(b)</t>
  </si>
  <si>
    <t>LFPB at year 2</t>
  </si>
  <si>
    <t>Question LFMU-Q6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</si>
</sst>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_(* #,##0_);_(* \(#,##0\);_(* &quot;-&quot;??_);_(@_)"/>
    <numFmt numFmtId="165" formatCode="0.000%"/>
    <numFmt numFmtId="166" formatCode="#,##0.000"/>
    <numFmt numFmtId="167" formatCode="0.0%"/>
  </numFmts>
  <fonts count="13" x14ac:knownFonts="1">
    <font>
      <sz val="11"/>
      <color theme="1"/>
      <name val="Calibri"/>
      <family val="2"/>
      <scheme val="minor"/>
    </font>
    <font>
      <b/>
      <sz val="11"/>
      <color theme="1"/>
      <name val="Calibri"/>
      <family val="2"/>
      <scheme val="minor"/>
    </font>
    <font>
      <i/>
      <sz val="11"/>
      <color theme="1"/>
      <name val="Calibri"/>
      <family val="2"/>
      <scheme val="minor"/>
    </font>
    <font>
      <i/>
      <sz val="12"/>
      <color theme="1"/>
      <name val="Times New Roman"/>
      <family val="1"/>
    </font>
    <font>
      <sz val="10"/>
      <name val="Arial Narrow"/>
      <family val="2"/>
    </font>
    <font>
      <sz val="10"/>
      <color rgb="FF0000FF"/>
      <name val="Arial Narrow"/>
      <family val="2"/>
    </font>
    <font>
      <sz val="10"/>
      <name val="Arial"/>
      <family val="2"/>
    </font>
    <font>
      <sz val="10"/>
      <color rgb="FFFF0000"/>
      <name val="Arial Narrow"/>
      <family val="2"/>
    </font>
    <font>
      <sz val="10"/>
      <name val="Times New Roman"/>
      <family val="1"/>
    </font>
    <font>
      <i/>
      <sz val="10"/>
      <color theme="4"/>
      <name val="Arial Narrow"/>
      <family val="2"/>
    </font>
    <font>
      <b/>
      <sz val="12"/>
      <color rgb="FF000000"/>
      <name val="Times New Roman"/>
      <family val="1"/>
    </font>
    <font>
      <sz val="10"/>
      <name val="Arial"/>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s>
  <cellStyleXfs count="6">
    <xf numFmtId="0" fontId="0"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11" fillId="0" borderId="0"/>
    <xf numFmtId="43" fontId="6" fillId="0" borderId="0" applyFont="0" applyFill="0" applyBorder="0" applyAlignment="0" applyProtection="0"/>
  </cellStyleXfs>
  <cellXfs count="65">
    <xf numFmtId="0" fontId="0" fillId="0" borderId="0" xfId="0"/>
    <xf numFmtId="0" fontId="1" fillId="0" borderId="0" xfId="0" applyFont="1"/>
    <xf numFmtId="0" fontId="2" fillId="0" borderId="0" xfId="0" applyFont="1"/>
    <xf numFmtId="0" fontId="3" fillId="0" borderId="0" xfId="0" applyFont="1" applyAlignment="1">
      <alignment vertical="top"/>
    </xf>
    <xf numFmtId="0" fontId="3" fillId="0" borderId="0" xfId="0" applyFont="1" applyAlignment="1">
      <alignment horizontal="left" vertical="center" indent="5"/>
    </xf>
    <xf numFmtId="0" fontId="4" fillId="0" borderId="0" xfId="1" applyFont="1"/>
    <xf numFmtId="0" fontId="4" fillId="0" borderId="1" xfId="1" applyFont="1" applyBorder="1"/>
    <xf numFmtId="0" fontId="4" fillId="0" borderId="1" xfId="1" applyFont="1" applyBorder="1" applyAlignment="1">
      <alignment wrapText="1"/>
    </xf>
    <xf numFmtId="0" fontId="8" fillId="0" borderId="0" xfId="1" applyFont="1" applyAlignment="1">
      <alignment vertical="center" wrapText="1"/>
    </xf>
    <xf numFmtId="3" fontId="4" fillId="0" borderId="1" xfId="1" applyNumberFormat="1" applyFont="1" applyBorder="1"/>
    <xf numFmtId="3" fontId="8" fillId="0" borderId="0" xfId="1" applyNumberFormat="1" applyFont="1" applyAlignment="1">
      <alignment horizontal="right" vertical="center" wrapText="1"/>
    </xf>
    <xf numFmtId="166" fontId="8" fillId="0" borderId="0" xfId="1" applyNumberFormat="1" applyFont="1" applyAlignment="1">
      <alignment horizontal="right" vertical="center" wrapText="1"/>
    </xf>
    <xf numFmtId="10" fontId="4" fillId="0" borderId="0" xfId="2" applyNumberFormat="1" applyFont="1"/>
    <xf numFmtId="0" fontId="5" fillId="0" borderId="0" xfId="1" applyFont="1" applyAlignment="1">
      <alignment wrapText="1"/>
    </xf>
    <xf numFmtId="43" fontId="4" fillId="0" borderId="0" xfId="1" applyNumberFormat="1" applyFont="1"/>
    <xf numFmtId="164" fontId="5" fillId="0" borderId="0" xfId="3" applyNumberFormat="1" applyFont="1"/>
    <xf numFmtId="0" fontId="7" fillId="0" borderId="0" xfId="1" applyFont="1"/>
    <xf numFmtId="8" fontId="4" fillId="0" borderId="0" xfId="1" applyNumberFormat="1" applyFont="1"/>
    <xf numFmtId="43" fontId="4" fillId="0" borderId="0" xfId="3" applyFont="1"/>
    <xf numFmtId="3" fontId="5" fillId="0" borderId="0" xfId="1" applyNumberFormat="1" applyFont="1"/>
    <xf numFmtId="164" fontId="4" fillId="0" borderId="0" xfId="1" applyNumberFormat="1" applyFont="1"/>
    <xf numFmtId="10" fontId="7" fillId="0" borderId="0" xfId="2" applyNumberFormat="1" applyFont="1"/>
    <xf numFmtId="3" fontId="4" fillId="0" borderId="0" xfId="1" applyNumberFormat="1" applyFont="1"/>
    <xf numFmtId="164" fontId="4" fillId="0" borderId="0" xfId="3" applyNumberFormat="1" applyFont="1"/>
    <xf numFmtId="0" fontId="4" fillId="0" borderId="1" xfId="1" applyFont="1" applyBorder="1" applyAlignment="1">
      <alignment horizontal="center" vertical="center"/>
    </xf>
    <xf numFmtId="0" fontId="9" fillId="0" borderId="0" xfId="1" applyFont="1"/>
    <xf numFmtId="0" fontId="4" fillId="0" borderId="0" xfId="1" applyFont="1" applyAlignment="1">
      <alignment horizontal="right" vertical="center"/>
    </xf>
    <xf numFmtId="164" fontId="4" fillId="0" borderId="1" xfId="1" applyNumberFormat="1" applyFont="1" applyBorder="1"/>
    <xf numFmtId="0" fontId="9" fillId="0" borderId="0" xfId="1" applyFont="1" applyAlignment="1">
      <alignment horizontal="center" vertical="center"/>
    </xf>
    <xf numFmtId="164" fontId="4" fillId="0" borderId="1" xfId="3" applyNumberFormat="1" applyFont="1" applyBorder="1"/>
    <xf numFmtId="0" fontId="7" fillId="0" borderId="0" xfId="1" applyFont="1" applyFill="1"/>
    <xf numFmtId="0" fontId="4" fillId="0" borderId="0" xfId="1" applyFont="1" applyBorder="1"/>
    <xf numFmtId="3" fontId="4" fillId="0" borderId="0" xfId="1" applyNumberFormat="1" applyFont="1" applyBorder="1"/>
    <xf numFmtId="0" fontId="4" fillId="0" borderId="0" xfId="1" applyFont="1" applyFill="1" applyAlignment="1">
      <alignment horizontal="center"/>
    </xf>
    <xf numFmtId="0" fontId="4" fillId="0" borderId="0" xfId="1" applyFont="1" applyFill="1"/>
    <xf numFmtId="0" fontId="4" fillId="0" borderId="0" xfId="1" applyFont="1" applyAlignment="1">
      <alignment wrapText="1"/>
    </xf>
    <xf numFmtId="165" fontId="4" fillId="0" borderId="0" xfId="2" applyNumberFormat="1" applyFont="1"/>
    <xf numFmtId="164" fontId="4" fillId="0" borderId="0" xfId="3" applyNumberFormat="1" applyFont="1" applyFill="1"/>
    <xf numFmtId="0" fontId="10" fillId="0" borderId="0" xfId="0" applyFont="1"/>
    <xf numFmtId="0" fontId="3" fillId="0" borderId="0" xfId="0" applyFont="1"/>
    <xf numFmtId="0" fontId="4" fillId="0" borderId="0" xfId="1" applyFont="1" applyFill="1" applyAlignment="1">
      <alignment wrapText="1"/>
    </xf>
    <xf numFmtId="0" fontId="11" fillId="2" borderId="0" xfId="4" applyFill="1"/>
    <xf numFmtId="2" fontId="11" fillId="2" borderId="0" xfId="4" applyNumberFormat="1" applyFill="1"/>
    <xf numFmtId="4" fontId="11" fillId="2" borderId="0" xfId="4" applyNumberFormat="1" applyFill="1"/>
    <xf numFmtId="0" fontId="6" fillId="2" borderId="0" xfId="4" applyFont="1" applyFill="1"/>
    <xf numFmtId="0" fontId="12" fillId="2" borderId="0" xfId="4" applyFont="1" applyFill="1"/>
    <xf numFmtId="2" fontId="12" fillId="3" borderId="2" xfId="4" applyNumberFormat="1" applyFont="1" applyFill="1" applyBorder="1"/>
    <xf numFmtId="4" fontId="12" fillId="2" borderId="2" xfId="4" applyNumberFormat="1" applyFont="1" applyFill="1" applyBorder="1"/>
    <xf numFmtId="0" fontId="12" fillId="2" borderId="2" xfId="4" applyFont="1" applyFill="1" applyBorder="1"/>
    <xf numFmtId="43" fontId="12" fillId="2" borderId="0" xfId="4" applyNumberFormat="1" applyFont="1" applyFill="1"/>
    <xf numFmtId="4" fontId="12" fillId="3" borderId="2" xfId="4" applyNumberFormat="1" applyFont="1" applyFill="1" applyBorder="1"/>
    <xf numFmtId="0" fontId="11" fillId="2" borderId="3" xfId="4" applyFill="1" applyBorder="1"/>
    <xf numFmtId="4" fontId="11" fillId="2" borderId="3" xfId="4" applyNumberFormat="1" applyFill="1" applyBorder="1"/>
    <xf numFmtId="4" fontId="12" fillId="3" borderId="0" xfId="4" applyNumberFormat="1" applyFont="1" applyFill="1"/>
    <xf numFmtId="4" fontId="12" fillId="2" borderId="0" xfId="4" applyNumberFormat="1" applyFont="1" applyFill="1"/>
    <xf numFmtId="3" fontId="11" fillId="2" borderId="0" xfId="4" applyNumberFormat="1" applyFill="1"/>
    <xf numFmtId="43" fontId="12" fillId="3" borderId="0" xfId="4" applyNumberFormat="1" applyFont="1" applyFill="1"/>
    <xf numFmtId="43" fontId="0" fillId="2" borderId="0" xfId="5" applyFont="1" applyFill="1"/>
    <xf numFmtId="43" fontId="0" fillId="3" borderId="0" xfId="5" applyFont="1" applyFill="1"/>
    <xf numFmtId="0" fontId="11" fillId="2" borderId="2" xfId="4" applyFill="1" applyBorder="1"/>
    <xf numFmtId="0" fontId="11" fillId="2" borderId="2" xfId="4" applyFill="1" applyBorder="1" applyAlignment="1">
      <alignment horizontal="left"/>
    </xf>
    <xf numFmtId="0" fontId="11" fillId="2" borderId="2" xfId="4" applyFill="1" applyBorder="1" applyAlignment="1">
      <alignment horizontal="center"/>
    </xf>
    <xf numFmtId="0" fontId="11" fillId="2" borderId="0" xfId="4" applyFill="1" applyAlignment="1">
      <alignment horizontal="center"/>
    </xf>
    <xf numFmtId="167" fontId="11" fillId="2" borderId="0" xfId="4" applyNumberFormat="1" applyFill="1" applyAlignment="1">
      <alignment horizontal="left"/>
    </xf>
    <xf numFmtId="0" fontId="4" fillId="0" borderId="1" xfId="1" applyFont="1" applyBorder="1" applyAlignment="1">
      <alignment horizontal="center"/>
    </xf>
  </cellXfs>
  <cellStyles count="6">
    <cellStyle name="Comma 2" xfId="3" xr:uid="{26079775-0CC9-4F11-B9F6-DB2529CBCCB2}"/>
    <cellStyle name="Comma 3" xfId="5" xr:uid="{FF30E1E7-43E7-4A73-89B1-3B8FE365C3DE}"/>
    <cellStyle name="Normal" xfId="0" builtinId="0"/>
    <cellStyle name="Normal 2" xfId="1" xr:uid="{C5239CBC-965D-459C-ACCD-AD972CCFFC75}"/>
    <cellStyle name="Normal 3" xfId="4" xr:uid="{F82CDBED-D873-45A3-8EBE-C1C4D73D9A81}"/>
    <cellStyle name="Percent 2" xfId="2" xr:uid="{F2F6F11D-7978-47B5-B61C-1FA7D665D4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M\CFVM\2006Q2\Deterministic%20Scenarios%20New%20v2\CDN%20Deterministic%20Scenarios\YLDCRV7.5%202006Q2%20IF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meriprise-my.sharepoint.com/C:/Users/t79bpec/AppData/Local/Temp/notes0AC7F3/SZ-1-2014%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iprise-my.sharepoint.com/personal/derek_l_farmer_ampf_com/Documents/SOA/Question%20Writing/2022%20Exams/1-10%20Question%20Download/SG-2-2022.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meriprise-my.sharepoint.com/personal/derek_l_farmer_ampf_com/Documents/SOA/Question%20Writing/2022%20Exams/1-10%20Question%20Download/EC-02-202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cagtafsr05/Users/mpromislow/Personal/SOA/QWC%202020/21511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Base"/>
      <sheetName val="CalcUp"/>
      <sheetName val="CalcDown"/>
      <sheetName val="OutBase"/>
      <sheetName val="OutUp"/>
      <sheetName val="OutDown"/>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Z-1-2013 (MH)"/>
      <sheetName val="syllabus list"/>
      <sheetName val="SZ-1-2013"/>
      <sheetName val="instructions"/>
    </sheetNames>
    <sheetDataSet>
      <sheetData sheetId="0" refreshError="1">
        <row r="9">
          <cell r="B9" t="str">
            <v>CAN-1</v>
          </cell>
        </row>
      </sheetData>
      <sheetData sheetId="1">
        <row r="128">
          <cell r="C128" t="str">
            <v>Retrieval</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yllabus list"/>
      <sheetName val="Qxt"/>
      <sheetName val="Solution"/>
    </sheetNames>
    <sheetDataSet>
      <sheetData sheetId="0" refreshError="1"/>
      <sheetData sheetId="1">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LFM-XXX-21: A Comprehensive Guide – Reinsurance, E&amp;Y, 2020, (Sections 1, 2, 4, 7, Appendix D)</v>
          </cell>
        </row>
        <row r="47">
          <cell r="D47" t="str">
            <v>LO#1 LFM-149-21: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LFM-649-20: International Actuarial Note 100: Application of IFRS 17 (excluding section C chapter 11 and section D )</v>
          </cell>
        </row>
        <row r="65">
          <cell r="D65" t="str">
            <v>LO#2 LFM-XXX-21: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Deduction – Small Life Insurance Company Deduction section, and Dividends Received Deduction subsection under the Investment Accounting Rules section)</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LFM-XXX-21: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LFM-844-21: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LFM-XXX-21: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LFM-XXX-21: Captive Insurance Companies, NAIC, Feb 2021</v>
          </cell>
        </row>
        <row r="119">
          <cell r="D119" t="str">
            <v>LO#4 LFM-645-21: OSFI Guideline – Life Insurance Capital Adequacy Test (LICAT), Oct 2018, Only Ch. 1</v>
          </cell>
        </row>
        <row r="120">
          <cell r="D120" t="str">
            <v xml:space="preserve">LO#4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Group Capital Calculation: Public Summary, National Association of Insurance Commissioners,  Dec 2020  </v>
          </cell>
        </row>
        <row r="136">
          <cell r="D136" t="str">
            <v>LO#5 Group Capital Calculation: Pictorial, National Association of Insurance Commissioners, Dec 2020</v>
          </cell>
        </row>
        <row r="137">
          <cell r="D137" t="str">
            <v>LO#5 NAIC Own Risk and Solvency Assessment (ORSA) Guidance Manual, National Association of Insurance Commissioners, Dec 2017</v>
          </cell>
        </row>
        <row r="138">
          <cell r="D138" t="str">
            <v>LO#5 ASOP 55 – Capital Adequacy Assessment, Section 3 and Appendix 1</v>
          </cell>
        </row>
        <row r="139">
          <cell r="D139" t="str">
            <v xml:space="preserve">LO#6 CIA: Sources of Earnings: Determination and Disclosure, August 2004 </v>
          </cell>
        </row>
        <row r="140">
          <cell r="D140" t="str">
            <v>LO#6 LFM-603-13 OSFI Guideline D-9-Source of Earnings Disclosure (Life Insurance Companies)</v>
          </cell>
        </row>
        <row r="141">
          <cell r="D141" t="str">
            <v xml:space="preserve">LO#6 LFM-137-16 EVARAROC vs. MCEV Earnings - A Unification Approach, Kraus 2011 </v>
          </cell>
        </row>
        <row r="142">
          <cell r="D142" t="str">
            <v>LO#6 LFM-106-07 Insurance Inductry Mergers and Acquisitions, Chapter 4 (Sections 4.1-4.6)</v>
          </cell>
        </row>
        <row r="143">
          <cell r="D143" t="str">
            <v xml:space="preserve">LO#6 Embedded Value: Practice and Theory, SOA, Actuarial Practice Forum, March 2009 </v>
          </cell>
        </row>
        <row r="144">
          <cell r="D144" t="str">
            <v xml:space="preserve">LO#6 LFM-138-16 Prudential Financial - Stockholder's Equity and Operating Leverage, HBR, 2008  </v>
          </cell>
        </row>
        <row r="145">
          <cell r="D145" t="str">
            <v>LO#6 LFM-154-21 Introduction to Source of Earnings Analysis (excluding Appendices)</v>
          </cell>
        </row>
        <row r="146">
          <cell r="D146" t="str">
            <v>LO#6 LFM-147-20 A.M. Best’s - Compendium of Publications</v>
          </cell>
        </row>
        <row r="147">
          <cell r="D147" t="str">
            <v>LO#6 LFM-XXX-21: Sarbanes-Oxley Section 404: A Toolkit for Management and Auditors</v>
          </cell>
        </row>
        <row r="148">
          <cell r="D148" t="str">
            <v>LO#6 LFM-XXX-21: Captive Insurance Companies, NAIC, Feb 2021</v>
          </cell>
        </row>
        <row r="149">
          <cell r="D149" t="str">
            <v>LO#6 Chapter 19 – Variable Deferred Annuities, Lombardi, Valuation of Insurance Liabilities, 5th Ed., Section 19.4</v>
          </cell>
        </row>
        <row r="150">
          <cell r="D150" t="str">
            <v>LO#6 Model Audit Rule, American Academy of Actuaries Practice Note, 2010</v>
          </cell>
        </row>
        <row r="151">
          <cell r="D151" t="str">
            <v>LO#6 Understanding VM-20 Results, SoA and Milliman, 2017, Excluding Section 4</v>
          </cell>
        </row>
        <row r="159">
          <cell r="C159" t="str">
            <v>Retrieval</v>
          </cell>
        </row>
        <row r="160">
          <cell r="C160" t="str">
            <v>Comprehension</v>
          </cell>
        </row>
        <row r="161">
          <cell r="C161" t="str">
            <v>Analysis</v>
          </cell>
        </row>
        <row r="162">
          <cell r="C162" t="str">
            <v>Knowledge Utilization</v>
          </cell>
        </row>
      </sheetData>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yllabus list"/>
      <sheetName val="Qxt"/>
      <sheetName val="Graph for Word Document"/>
    </sheetNames>
    <sheetDataSet>
      <sheetData sheetId="0" refreshError="1"/>
      <sheetData sheetId="1">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LFM-XXX-21: A Comprehensive Guide – Reinsurance, E&amp;Y, 2020, (Sections 1, 2, 4, 7, Appendix D)</v>
          </cell>
        </row>
        <row r="47">
          <cell r="D47" t="str">
            <v>LO#1 LFM-149-21: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LFM-649-20: International Actuarial Note 100: Application of IFRS 17 (excluding section C chapter 11 and section D )</v>
          </cell>
        </row>
        <row r="65">
          <cell r="D65" t="str">
            <v>LO#2 LFM-XXX-21: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Deduction – Small Life Insurance Company Deduction section, and Dividends Received Deduction subsection under the Investment Accounting Rules section)</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LFM-XXX-21: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LFM-844-21: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LFM-XXX-21: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LFM-XXX-21: Captive Insurance Companies, NAIC, Feb 2021</v>
          </cell>
        </row>
        <row r="119">
          <cell r="D119" t="str">
            <v>LO#4 LFM-645-21: OSFI Guideline – Life Insurance Capital Adequacy Test (LICAT), Oct 2018, Only Ch. 1</v>
          </cell>
        </row>
        <row r="120">
          <cell r="D120" t="str">
            <v xml:space="preserve">LO#4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Group Capital Calculation: Public Summary, National Association of Insurance Commissioners,  Dec 2020  </v>
          </cell>
        </row>
        <row r="136">
          <cell r="D136" t="str">
            <v>LO#5 Group Capital Calculation: Pictorial, National Association of Insurance Commissioners, Dec 2020</v>
          </cell>
        </row>
        <row r="137">
          <cell r="D137" t="str">
            <v>LO#5 NAIC Own Risk and Solvency Assessment (ORSA) Guidance Manual, National Association of Insurance Commissioners, Dec 2017</v>
          </cell>
        </row>
        <row r="138">
          <cell r="D138" t="str">
            <v>LO#5 ASOP 55 – Capital Adequacy Assessment, Section 3 and Appendix 1</v>
          </cell>
        </row>
        <row r="139">
          <cell r="D139" t="str">
            <v xml:space="preserve">LO#6 CIA: Sources of Earnings: Determination and Disclosure, August 2004 </v>
          </cell>
        </row>
        <row r="140">
          <cell r="D140" t="str">
            <v>LO#6 LFM-603-13 OSFI Guideline D-9-Source of Earnings Disclosure (Life Insurance Companies)</v>
          </cell>
        </row>
        <row r="141">
          <cell r="D141" t="str">
            <v xml:space="preserve">LO#6 LFM-137-16 EVARAROC vs. MCEV Earnings - A Unification Approach, Kraus 2011 </v>
          </cell>
        </row>
        <row r="142">
          <cell r="D142" t="str">
            <v>LO#6 LFM-106-07 Insurance Inductry Mergers and Acquisitions, Chapter 4 (Sections 4.1-4.6)</v>
          </cell>
        </row>
        <row r="143">
          <cell r="D143" t="str">
            <v xml:space="preserve">LO#6 Embedded Value: Practice and Theory, SOA, Actuarial Practice Forum, March 2009 </v>
          </cell>
        </row>
        <row r="144">
          <cell r="D144" t="str">
            <v xml:space="preserve">LO#6 LFM-138-16 Prudential Financial - Stockholder's Equity and Operating Leverage, HBR, 2008  </v>
          </cell>
        </row>
        <row r="145">
          <cell r="D145" t="str">
            <v>LO#6 LFM-154-21 Introduction to Source of Earnings Analysis (excluding Appendices)</v>
          </cell>
        </row>
        <row r="146">
          <cell r="D146" t="str">
            <v>LO#6 LFM-147-20 A.M. Best’s - Compendium of Publications</v>
          </cell>
        </row>
        <row r="147">
          <cell r="D147" t="str">
            <v>LO#6 LFM-XXX-21: Sarbanes-Oxley Section 404: A Toolkit for Management and Auditors</v>
          </cell>
        </row>
        <row r="148">
          <cell r="D148" t="str">
            <v>LO#6 LFM-XXX-21: Captive Insurance Companies, NAIC, Feb 2021</v>
          </cell>
        </row>
        <row r="149">
          <cell r="D149" t="str">
            <v>LO#6 Chapter 19 – Variable Deferred Annuities, Lombardi, Valuation of Insurance Liabilities, 5th Ed., Section 19.4</v>
          </cell>
        </row>
        <row r="150">
          <cell r="D150" t="str">
            <v>LO#6 Model Audit Rule, American Academy of Actuaries Practice Note, 2010</v>
          </cell>
        </row>
        <row r="151">
          <cell r="D151" t="str">
            <v>LO#6 Understanding VM-20 Results, SoA and Milliman, 2017, Excluding Section 4</v>
          </cell>
        </row>
        <row r="159">
          <cell r="C159" t="str">
            <v>Retrieval</v>
          </cell>
        </row>
        <row r="160">
          <cell r="C160" t="str">
            <v>Comprehension</v>
          </cell>
        </row>
        <row r="161">
          <cell r="C161" t="str">
            <v>Analysis</v>
          </cell>
        </row>
        <row r="162">
          <cell r="C162" t="str">
            <v>Knowledge Utilization</v>
          </cell>
        </row>
      </sheetData>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Description"/>
      <sheetName val="Note"/>
      <sheetName val="Input - Entrée de données"/>
      <sheetName val="Derivation"/>
      <sheetName val="Chart - Graphique"/>
      <sheetName val="Output - Résultats"/>
      <sheetName val="Équivalences"/>
      <sheetName val="Sheet1"/>
    </sheetNames>
    <sheetDataSet>
      <sheetData sheetId="0"/>
      <sheetData sheetId="1"/>
      <sheetData sheetId="2">
        <row r="1">
          <cell r="I1" t="str">
            <v>Français / French</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656C-2A4F-4803-9F2C-957911BF560F}">
  <sheetPr>
    <tabColor theme="8" tint="0.59999389629810485"/>
  </sheetPr>
  <dimension ref="A1:U85"/>
  <sheetViews>
    <sheetView zoomScale="110" zoomScaleNormal="110" workbookViewId="0">
      <selection activeCell="B70" sqref="B70"/>
    </sheetView>
  </sheetViews>
  <sheetFormatPr defaultColWidth="10.5703125" defaultRowHeight="12.75" x14ac:dyDescent="0.2"/>
  <cols>
    <col min="1" max="12" width="10.5703125" style="5"/>
    <col min="13" max="13" width="12.42578125" style="5" bestFit="1" customWidth="1"/>
    <col min="14" max="16384" width="10.5703125" style="5"/>
  </cols>
  <sheetData>
    <row r="1" spans="1:11" ht="15" x14ac:dyDescent="0.25">
      <c r="A1" s="1" t="s">
        <v>0</v>
      </c>
      <c r="B1"/>
      <c r="C1"/>
    </row>
    <row r="2" spans="1:11" ht="15" x14ac:dyDescent="0.25">
      <c r="A2"/>
      <c r="B2"/>
      <c r="C2"/>
    </row>
    <row r="3" spans="1:11" ht="15.75" x14ac:dyDescent="0.25">
      <c r="A3" s="3" t="s">
        <v>1</v>
      </c>
      <c r="B3" s="4" t="s">
        <v>2</v>
      </c>
      <c r="C3"/>
    </row>
    <row r="5" spans="1:11" ht="51" x14ac:dyDescent="0.2">
      <c r="B5" s="6"/>
      <c r="C5" s="7" t="s">
        <v>4</v>
      </c>
      <c r="D5" s="7" t="s">
        <v>5</v>
      </c>
      <c r="E5" s="7" t="s">
        <v>6</v>
      </c>
      <c r="F5" s="8"/>
      <c r="G5" s="8"/>
      <c r="J5" s="8"/>
      <c r="K5" s="8"/>
    </row>
    <row r="6" spans="1:11" x14ac:dyDescent="0.2">
      <c r="B6" s="6" t="s">
        <v>7</v>
      </c>
      <c r="C6" s="9">
        <v>162000</v>
      </c>
      <c r="D6" s="9">
        <v>17010</v>
      </c>
      <c r="E6" s="9">
        <f>0.9*C6/2</f>
        <v>72900</v>
      </c>
      <c r="F6" s="10"/>
      <c r="G6" s="11"/>
      <c r="J6" s="10"/>
      <c r="K6" s="10"/>
    </row>
    <row r="7" spans="1:11" x14ac:dyDescent="0.2">
      <c r="B7" s="6" t="s">
        <v>8</v>
      </c>
      <c r="C7" s="9">
        <v>144000</v>
      </c>
      <c r="D7" s="9">
        <v>15120</v>
      </c>
      <c r="E7" s="9">
        <f t="shared" ref="E7:E13" si="0">0.1*C7/2</f>
        <v>7200</v>
      </c>
      <c r="F7" s="10"/>
      <c r="G7" s="11"/>
      <c r="J7" s="10"/>
      <c r="K7" s="10"/>
    </row>
    <row r="8" spans="1:11" x14ac:dyDescent="0.2">
      <c r="B8" s="6" t="s">
        <v>9</v>
      </c>
      <c r="C8" s="9">
        <v>126000</v>
      </c>
      <c r="D8" s="9">
        <v>13230</v>
      </c>
      <c r="E8" s="9">
        <f t="shared" si="0"/>
        <v>6300</v>
      </c>
      <c r="F8" s="10"/>
      <c r="G8" s="11"/>
      <c r="J8" s="10"/>
      <c r="K8" s="10"/>
    </row>
    <row r="9" spans="1:11" x14ac:dyDescent="0.2">
      <c r="B9" s="6" t="s">
        <v>10</v>
      </c>
      <c r="C9" s="9">
        <v>108000</v>
      </c>
      <c r="D9" s="9">
        <v>17280</v>
      </c>
      <c r="E9" s="9">
        <f t="shared" si="0"/>
        <v>5400</v>
      </c>
      <c r="F9" s="10"/>
      <c r="G9" s="11"/>
      <c r="J9" s="10"/>
      <c r="K9" s="10"/>
    </row>
    <row r="10" spans="1:11" x14ac:dyDescent="0.2">
      <c r="B10" s="6" t="s">
        <v>11</v>
      </c>
      <c r="C10" s="9">
        <v>90000</v>
      </c>
      <c r="D10" s="9">
        <v>14400</v>
      </c>
      <c r="E10" s="9">
        <f t="shared" si="0"/>
        <v>4500</v>
      </c>
      <c r="F10" s="10"/>
      <c r="G10" s="11"/>
      <c r="J10" s="10"/>
      <c r="K10" s="10"/>
    </row>
    <row r="11" spans="1:11" x14ac:dyDescent="0.2">
      <c r="B11" s="6" t="s">
        <v>12</v>
      </c>
      <c r="C11" s="9">
        <v>72000</v>
      </c>
      <c r="D11" s="9">
        <v>15480</v>
      </c>
      <c r="E11" s="9">
        <f t="shared" si="0"/>
        <v>3600</v>
      </c>
      <c r="F11" s="10"/>
      <c r="G11" s="11"/>
      <c r="J11" s="10"/>
      <c r="K11" s="10"/>
    </row>
    <row r="12" spans="1:11" x14ac:dyDescent="0.2">
      <c r="B12" s="6" t="s">
        <v>13</v>
      </c>
      <c r="C12" s="9">
        <v>54000</v>
      </c>
      <c r="D12" s="9">
        <v>11610</v>
      </c>
      <c r="E12" s="9">
        <f t="shared" si="0"/>
        <v>2700</v>
      </c>
      <c r="F12" s="10"/>
      <c r="G12" s="11"/>
      <c r="J12" s="10"/>
      <c r="K12" s="10"/>
    </row>
    <row r="13" spans="1:11" x14ac:dyDescent="0.2">
      <c r="B13" s="6" t="s">
        <v>14</v>
      </c>
      <c r="C13" s="9">
        <v>36000</v>
      </c>
      <c r="D13" s="9">
        <v>7740</v>
      </c>
      <c r="E13" s="9">
        <f t="shared" si="0"/>
        <v>1800</v>
      </c>
      <c r="F13" s="10"/>
      <c r="G13" s="11"/>
      <c r="J13" s="10"/>
      <c r="K13" s="10"/>
    </row>
    <row r="15" spans="1:11" ht="15" x14ac:dyDescent="0.25">
      <c r="A15" s="2" t="s">
        <v>3</v>
      </c>
    </row>
    <row r="16" spans="1:11" ht="15.75" x14ac:dyDescent="0.25">
      <c r="A16" s="2"/>
      <c r="B16" s="38" t="s">
        <v>57</v>
      </c>
    </row>
    <row r="17" spans="1:21" ht="15.75" x14ac:dyDescent="0.25">
      <c r="A17" s="2"/>
      <c r="B17" s="39" t="s">
        <v>62</v>
      </c>
    </row>
    <row r="18" spans="1:21" ht="15.75" x14ac:dyDescent="0.25">
      <c r="A18" s="2"/>
      <c r="B18" s="39" t="s">
        <v>64</v>
      </c>
    </row>
    <row r="19" spans="1:21" ht="15.75" x14ac:dyDescent="0.25">
      <c r="B19" s="39" t="s">
        <v>65</v>
      </c>
    </row>
    <row r="20" spans="1:21" ht="15.75" x14ac:dyDescent="0.25">
      <c r="B20" s="39"/>
    </row>
    <row r="21" spans="1:21" x14ac:dyDescent="0.2">
      <c r="B21" s="5" t="s">
        <v>15</v>
      </c>
      <c r="D21" s="12">
        <v>6.7500000000000004E-2</v>
      </c>
    </row>
    <row r="22" spans="1:21" x14ac:dyDescent="0.2">
      <c r="B22" s="5" t="s">
        <v>16</v>
      </c>
      <c r="D22" s="12">
        <f>D21/2</f>
        <v>3.3750000000000002E-2</v>
      </c>
      <c r="E22" s="12"/>
    </row>
    <row r="23" spans="1:21" x14ac:dyDescent="0.2">
      <c r="H23" s="33"/>
      <c r="I23" s="33"/>
      <c r="J23" s="33"/>
      <c r="K23" s="34"/>
      <c r="L23" s="34"/>
    </row>
    <row r="24" spans="1:21" ht="63.75" x14ac:dyDescent="0.2">
      <c r="B24" s="6"/>
      <c r="C24" s="7" t="s">
        <v>17</v>
      </c>
      <c r="D24" s="7" t="s">
        <v>5</v>
      </c>
      <c r="E24" s="7" t="s">
        <v>6</v>
      </c>
      <c r="F24" s="7" t="s">
        <v>4</v>
      </c>
      <c r="G24" s="35" t="s">
        <v>18</v>
      </c>
      <c r="H24" s="35" t="s">
        <v>19</v>
      </c>
      <c r="I24" s="35" t="s">
        <v>20</v>
      </c>
      <c r="J24" s="35" t="s">
        <v>21</v>
      </c>
      <c r="K24" s="35" t="s">
        <v>22</v>
      </c>
      <c r="L24" s="35" t="s">
        <v>23</v>
      </c>
    </row>
    <row r="25" spans="1:21" x14ac:dyDescent="0.2">
      <c r="A25" s="14"/>
      <c r="B25" s="6" t="s">
        <v>7</v>
      </c>
      <c r="C25" s="9">
        <f t="shared" ref="C25:C32" si="1">C6/2</f>
        <v>81000</v>
      </c>
      <c r="D25" s="9">
        <f t="shared" ref="D25:E32" si="2">D6</f>
        <v>17010</v>
      </c>
      <c r="E25" s="9">
        <f t="shared" si="2"/>
        <v>72900</v>
      </c>
      <c r="F25" s="9">
        <f t="shared" ref="F25:F32" si="3">C6</f>
        <v>162000</v>
      </c>
      <c r="G25" s="23">
        <f>D25-C25</f>
        <v>-63990</v>
      </c>
      <c r="H25" s="37">
        <f>NPV($D$21,G25:G32)</f>
        <v>-230815.27430254672</v>
      </c>
      <c r="I25" s="23">
        <f>NPV(D21,F25:F32)</f>
        <v>633976.68495541706</v>
      </c>
      <c r="J25" s="36">
        <f>-H25/I25</f>
        <v>0.36407533554452126</v>
      </c>
      <c r="K25" s="23">
        <f>$J$25*F25</f>
        <v>58980.204358212446</v>
      </c>
      <c r="L25" s="23">
        <f>0*(1+$D$21)+K25*(1+$D$22)+(D25-C25)*(1+$D$22)</f>
        <v>-5178.8762446978799</v>
      </c>
      <c r="M25" s="5" t="s">
        <v>24</v>
      </c>
      <c r="N25" s="17"/>
      <c r="O25" s="18"/>
      <c r="P25" s="18"/>
      <c r="Q25" s="18"/>
      <c r="R25" s="18"/>
      <c r="S25" s="18"/>
      <c r="T25" s="18"/>
      <c r="U25" s="18"/>
    </row>
    <row r="26" spans="1:21" x14ac:dyDescent="0.2">
      <c r="A26" s="14"/>
      <c r="B26" s="6" t="s">
        <v>8</v>
      </c>
      <c r="C26" s="9">
        <f t="shared" si="1"/>
        <v>72000</v>
      </c>
      <c r="D26" s="9">
        <f t="shared" si="2"/>
        <v>15120</v>
      </c>
      <c r="E26" s="9">
        <f t="shared" si="2"/>
        <v>7200</v>
      </c>
      <c r="F26" s="9">
        <f t="shared" si="3"/>
        <v>144000</v>
      </c>
      <c r="G26" s="23">
        <f>D26-C26</f>
        <v>-56880</v>
      </c>
      <c r="H26" s="22"/>
      <c r="K26" s="23">
        <f>$J$25*F26</f>
        <v>52426.848318411059</v>
      </c>
      <c r="L26" s="23">
        <f>L25*(1+$D$21)+K26*(1+$D$22)+(D26-C26)*(1+$D$22)</f>
        <v>-10131.895942057556</v>
      </c>
      <c r="M26" s="5" t="s">
        <v>24</v>
      </c>
      <c r="O26" s="18"/>
      <c r="P26" s="18"/>
      <c r="Q26" s="18"/>
      <c r="R26" s="18"/>
      <c r="S26" s="18"/>
      <c r="T26" s="18"/>
      <c r="U26" s="18"/>
    </row>
    <row r="27" spans="1:21" x14ac:dyDescent="0.2">
      <c r="A27" s="14"/>
      <c r="B27" s="6" t="s">
        <v>9</v>
      </c>
      <c r="C27" s="9">
        <f t="shared" si="1"/>
        <v>63000</v>
      </c>
      <c r="D27" s="9">
        <f t="shared" si="2"/>
        <v>13230</v>
      </c>
      <c r="E27" s="9">
        <f t="shared" si="2"/>
        <v>6300</v>
      </c>
      <c r="F27" s="9">
        <f t="shared" si="3"/>
        <v>126000</v>
      </c>
      <c r="G27" s="23">
        <f t="shared" ref="G27:G32" si="4">D27-C27</f>
        <v>-49770</v>
      </c>
      <c r="H27" s="22"/>
      <c r="K27" s="23">
        <f t="shared" ref="K27:K32" si="5">$J$25*F27</f>
        <v>45873.492278609679</v>
      </c>
      <c r="L27" s="23">
        <f>L26*(1+$D$21)+K27*(1+$D$22)+(D27-C27)*(1+$D$22)</f>
        <v>-14843.813775133684</v>
      </c>
      <c r="M27" s="5" t="s">
        <v>24</v>
      </c>
      <c r="O27" s="18"/>
      <c r="P27" s="18"/>
      <c r="Q27" s="18"/>
      <c r="R27" s="18"/>
      <c r="S27" s="18"/>
      <c r="T27" s="18"/>
      <c r="U27" s="18"/>
    </row>
    <row r="28" spans="1:21" x14ac:dyDescent="0.2">
      <c r="A28" s="14"/>
      <c r="B28" s="6" t="s">
        <v>10</v>
      </c>
      <c r="C28" s="9">
        <f t="shared" si="1"/>
        <v>54000</v>
      </c>
      <c r="D28" s="9">
        <f t="shared" si="2"/>
        <v>17280</v>
      </c>
      <c r="E28" s="9">
        <f t="shared" si="2"/>
        <v>5400</v>
      </c>
      <c r="F28" s="9">
        <f t="shared" si="3"/>
        <v>108000</v>
      </c>
      <c r="G28" s="23">
        <f>D28-C28</f>
        <v>-36720</v>
      </c>
      <c r="H28" s="22"/>
      <c r="K28" s="23">
        <f>$J$25*F28</f>
        <v>39320.1362388083</v>
      </c>
      <c r="L28" s="23">
        <f>L27*(1+$D$21)+K28*(1+$D$22)+(D28-C28)*(1+$D$22)</f>
        <v>-13157.880368087128</v>
      </c>
      <c r="M28" s="5" t="s">
        <v>24</v>
      </c>
      <c r="O28" s="18"/>
      <c r="P28" s="18"/>
      <c r="Q28" s="18"/>
      <c r="R28" s="18"/>
      <c r="S28" s="18"/>
      <c r="T28" s="18"/>
      <c r="U28" s="18"/>
    </row>
    <row r="29" spans="1:21" x14ac:dyDescent="0.2">
      <c r="A29" s="14"/>
      <c r="B29" s="6" t="s">
        <v>11</v>
      </c>
      <c r="C29" s="9">
        <f t="shared" si="1"/>
        <v>45000</v>
      </c>
      <c r="D29" s="9">
        <f t="shared" si="2"/>
        <v>14400</v>
      </c>
      <c r="E29" s="9">
        <f t="shared" si="2"/>
        <v>4500</v>
      </c>
      <c r="F29" s="9">
        <f t="shared" si="3"/>
        <v>90000</v>
      </c>
      <c r="G29" s="23">
        <f t="shared" si="4"/>
        <v>-30600</v>
      </c>
      <c r="H29" s="22"/>
      <c r="K29" s="23">
        <f>$J$25*F29</f>
        <v>32766.780199006913</v>
      </c>
      <c r="L29" s="23">
        <f>L28*(1+$D$21)+K29*(1+$D$22)+(D29-C29)*(1+$D$22)</f>
        <v>-11806.128262209615</v>
      </c>
      <c r="M29" s="5" t="s">
        <v>24</v>
      </c>
      <c r="O29" s="18"/>
      <c r="P29" s="18"/>
      <c r="Q29" s="18"/>
      <c r="R29" s="18"/>
      <c r="S29" s="18"/>
      <c r="T29" s="18"/>
      <c r="U29" s="18"/>
    </row>
    <row r="30" spans="1:21" x14ac:dyDescent="0.2">
      <c r="A30" s="14"/>
      <c r="B30" s="6" t="s">
        <v>12</v>
      </c>
      <c r="C30" s="9">
        <f t="shared" si="1"/>
        <v>36000</v>
      </c>
      <c r="D30" s="9">
        <f t="shared" si="2"/>
        <v>15480</v>
      </c>
      <c r="E30" s="9">
        <f t="shared" si="2"/>
        <v>3600</v>
      </c>
      <c r="F30" s="9">
        <f t="shared" si="3"/>
        <v>72000</v>
      </c>
      <c r="G30" s="23">
        <f t="shared" si="4"/>
        <v>-20520</v>
      </c>
      <c r="H30" s="22"/>
      <c r="K30" s="23">
        <f t="shared" si="5"/>
        <v>26213.42415920553</v>
      </c>
      <c r="L30" s="23">
        <f t="shared" ref="L30:L31" si="6">L29*(1+$D$21)+K30*(1+$D$22)+(D30-C30)*(1+$D$22)</f>
        <v>-6717.4646953300471</v>
      </c>
      <c r="M30" s="5" t="s">
        <v>24</v>
      </c>
      <c r="O30" s="18"/>
      <c r="P30" s="18"/>
      <c r="Q30" s="18"/>
      <c r="R30" s="18"/>
      <c r="S30" s="18"/>
      <c r="T30" s="18"/>
      <c r="U30" s="18"/>
    </row>
    <row r="31" spans="1:21" x14ac:dyDescent="0.2">
      <c r="A31" s="14"/>
      <c r="B31" s="6" t="s">
        <v>13</v>
      </c>
      <c r="C31" s="9">
        <f t="shared" si="1"/>
        <v>27000</v>
      </c>
      <c r="D31" s="9">
        <f t="shared" si="2"/>
        <v>11610</v>
      </c>
      <c r="E31" s="9">
        <f t="shared" si="2"/>
        <v>2700</v>
      </c>
      <c r="F31" s="9">
        <f t="shared" si="3"/>
        <v>54000</v>
      </c>
      <c r="G31" s="23">
        <f t="shared" si="4"/>
        <v>-15390</v>
      </c>
      <c r="H31" s="22"/>
      <c r="K31" s="23">
        <f t="shared" si="5"/>
        <v>19660.06811940415</v>
      </c>
      <c r="L31" s="23">
        <f t="shared" si="6"/>
        <v>-2756.7106438307856</v>
      </c>
      <c r="M31" s="5" t="s">
        <v>24</v>
      </c>
    </row>
    <row r="32" spans="1:21" x14ac:dyDescent="0.2">
      <c r="A32" s="14"/>
      <c r="B32" s="6" t="s">
        <v>14</v>
      </c>
      <c r="C32" s="9">
        <f t="shared" si="1"/>
        <v>18000</v>
      </c>
      <c r="D32" s="9">
        <f t="shared" si="2"/>
        <v>7740</v>
      </c>
      <c r="E32" s="9">
        <f t="shared" si="2"/>
        <v>1800</v>
      </c>
      <c r="F32" s="9">
        <f t="shared" si="3"/>
        <v>36000</v>
      </c>
      <c r="G32" s="23">
        <f t="shared" si="4"/>
        <v>-10260</v>
      </c>
      <c r="H32" s="22"/>
      <c r="K32" s="23">
        <f t="shared" si="5"/>
        <v>13106.712079602765</v>
      </c>
      <c r="L32" s="23">
        <f>L31*(1+$D$21)+K32*(1+$D$22)+(D32-C32)*(1+$D$22)</f>
        <v>0</v>
      </c>
      <c r="M32" s="5" t="s">
        <v>24</v>
      </c>
    </row>
    <row r="33" spans="1:13" x14ac:dyDescent="0.2">
      <c r="A33" s="14"/>
      <c r="B33" s="31"/>
      <c r="C33" s="32"/>
      <c r="D33" s="32"/>
      <c r="E33" s="32"/>
      <c r="F33" s="32"/>
      <c r="G33" s="15"/>
      <c r="H33" s="19"/>
      <c r="K33" s="15"/>
      <c r="L33" s="15"/>
      <c r="M33" s="16"/>
    </row>
    <row r="34" spans="1:13" x14ac:dyDescent="0.2">
      <c r="A34" s="14"/>
      <c r="B34" s="31" t="s">
        <v>56</v>
      </c>
      <c r="C34" s="32"/>
      <c r="D34" s="32"/>
      <c r="E34" s="32"/>
      <c r="F34" s="32"/>
      <c r="G34" s="15"/>
      <c r="H34" s="19"/>
      <c r="K34" s="15"/>
      <c r="L34" s="15"/>
      <c r="M34" s="16"/>
    </row>
    <row r="35" spans="1:13" x14ac:dyDescent="0.2">
      <c r="A35" s="14"/>
      <c r="B35" s="31" t="s">
        <v>63</v>
      </c>
      <c r="C35" s="32"/>
      <c r="D35" s="32"/>
      <c r="E35" s="32"/>
      <c r="F35" s="32"/>
      <c r="G35" s="15"/>
      <c r="H35" s="19"/>
      <c r="K35" s="15"/>
      <c r="L35" s="15"/>
      <c r="M35" s="16"/>
    </row>
    <row r="36" spans="1:13" x14ac:dyDescent="0.2">
      <c r="A36" s="14"/>
      <c r="B36" s="31"/>
      <c r="C36" s="32"/>
      <c r="D36" s="32"/>
      <c r="E36" s="32"/>
      <c r="F36" s="32"/>
      <c r="G36" s="15"/>
      <c r="H36" s="19"/>
      <c r="K36" s="15"/>
      <c r="L36" s="15"/>
      <c r="M36" s="16"/>
    </row>
    <row r="37" spans="1:13" ht="15" x14ac:dyDescent="0.25">
      <c r="A37" s="2" t="s">
        <v>58</v>
      </c>
      <c r="B37" s="31"/>
      <c r="C37" s="32"/>
      <c r="D37" s="32"/>
      <c r="E37" s="32"/>
      <c r="F37" s="32"/>
      <c r="G37" s="15"/>
      <c r="H37" s="19"/>
      <c r="K37" s="15"/>
      <c r="L37" s="15"/>
      <c r="M37" s="16"/>
    </row>
    <row r="38" spans="1:13" ht="15.75" x14ac:dyDescent="0.25">
      <c r="A38" s="14"/>
      <c r="B38" s="38" t="s">
        <v>57</v>
      </c>
      <c r="C38" s="32"/>
      <c r="D38" s="32"/>
      <c r="E38" s="32"/>
      <c r="F38" s="32"/>
      <c r="G38" s="15"/>
      <c r="H38" s="19"/>
      <c r="K38" s="15"/>
      <c r="L38" s="15"/>
      <c r="M38" s="16"/>
    </row>
    <row r="39" spans="1:13" ht="15.75" x14ac:dyDescent="0.25">
      <c r="A39" s="14"/>
      <c r="B39" s="39" t="s">
        <v>62</v>
      </c>
      <c r="C39" s="32"/>
      <c r="D39" s="32"/>
      <c r="E39" s="32"/>
      <c r="F39" s="32"/>
      <c r="G39" s="15"/>
      <c r="H39" s="19"/>
      <c r="K39" s="15"/>
      <c r="L39" s="15"/>
      <c r="M39" s="16"/>
    </row>
    <row r="40" spans="1:13" ht="15.75" x14ac:dyDescent="0.25">
      <c r="A40" s="14"/>
      <c r="B40" s="39" t="s">
        <v>66</v>
      </c>
      <c r="C40" s="32"/>
      <c r="D40" s="32"/>
      <c r="E40" s="32"/>
      <c r="F40" s="32"/>
      <c r="G40" s="15"/>
      <c r="H40" s="19"/>
      <c r="K40" s="15"/>
      <c r="L40" s="15"/>
      <c r="M40" s="16"/>
    </row>
    <row r="41" spans="1:13" ht="15.75" x14ac:dyDescent="0.25">
      <c r="A41" s="14"/>
      <c r="B41" s="39" t="s">
        <v>65</v>
      </c>
      <c r="C41" s="32"/>
      <c r="D41" s="32"/>
      <c r="E41" s="32"/>
      <c r="F41" s="32"/>
      <c r="G41" s="15"/>
      <c r="H41" s="19"/>
      <c r="K41" s="15"/>
      <c r="L41" s="15"/>
      <c r="M41" s="16"/>
    </row>
    <row r="42" spans="1:13" x14ac:dyDescent="0.2">
      <c r="A42" s="14"/>
      <c r="B42" s="31"/>
      <c r="C42" s="32"/>
      <c r="D42" s="32"/>
      <c r="E42" s="32"/>
      <c r="F42" s="32"/>
      <c r="G42" s="15"/>
      <c r="H42" s="19"/>
      <c r="K42" s="15"/>
      <c r="L42" s="15"/>
      <c r="M42" s="16"/>
    </row>
    <row r="43" spans="1:13" ht="63.75" x14ac:dyDescent="0.2">
      <c r="B43" s="6"/>
      <c r="C43" s="7" t="s">
        <v>17</v>
      </c>
      <c r="D43" s="7" t="s">
        <v>5</v>
      </c>
      <c r="E43" s="7" t="s">
        <v>6</v>
      </c>
      <c r="F43" s="7" t="s">
        <v>4</v>
      </c>
      <c r="G43" s="13"/>
      <c r="H43" s="35" t="s">
        <v>25</v>
      </c>
      <c r="I43" s="35" t="s">
        <v>20</v>
      </c>
      <c r="J43" s="35" t="s">
        <v>26</v>
      </c>
      <c r="K43" s="35" t="s">
        <v>27</v>
      </c>
      <c r="L43" s="35" t="s">
        <v>28</v>
      </c>
    </row>
    <row r="44" spans="1:13" x14ac:dyDescent="0.2">
      <c r="B44" s="6" t="s">
        <v>7</v>
      </c>
      <c r="C44" s="9">
        <f t="shared" ref="C44:C51" si="7">C25</f>
        <v>81000</v>
      </c>
      <c r="D44" s="9">
        <f t="shared" ref="D44:D51" si="8">D6</f>
        <v>17010</v>
      </c>
      <c r="E44" s="9">
        <v>72900</v>
      </c>
      <c r="F44" s="9">
        <v>162000</v>
      </c>
      <c r="G44" s="15"/>
      <c r="H44" s="23">
        <f>NPV(D21,E44:E51)</f>
        <v>92401.410360183043</v>
      </c>
      <c r="I44" s="23">
        <f>NPV(D21,F44:F51)</f>
        <v>633976.68495541706</v>
      </c>
      <c r="J44" s="12">
        <f>-H44/I44</f>
        <v>-0.14574890930993931</v>
      </c>
      <c r="K44" s="23">
        <f>$J$44*F44</f>
        <v>-23611.323308210169</v>
      </c>
      <c r="L44" s="23">
        <f>0*(1+$D$21)+K44*(1+$D$22)+E44*(1+D22)</f>
        <v>50952.16953013774</v>
      </c>
      <c r="M44" s="5" t="s">
        <v>29</v>
      </c>
    </row>
    <row r="45" spans="1:13" x14ac:dyDescent="0.2">
      <c r="B45" s="6" t="s">
        <v>8</v>
      </c>
      <c r="C45" s="9">
        <f t="shared" si="7"/>
        <v>72000</v>
      </c>
      <c r="D45" s="9">
        <f t="shared" si="8"/>
        <v>15120</v>
      </c>
      <c r="E45" s="9">
        <v>7200</v>
      </c>
      <c r="F45" s="9">
        <v>144000</v>
      </c>
      <c r="G45" s="15"/>
      <c r="H45" s="22"/>
      <c r="K45" s="23">
        <f>$J$44*F45</f>
        <v>-20987.842940631261</v>
      </c>
      <c r="L45" s="23">
        <f>L44*(1+$D$21)+F45*$J$44*(1+$D$22)+(E45)*(1+$D$22)</f>
        <v>40138.258333544465</v>
      </c>
      <c r="M45" s="5" t="s">
        <v>29</v>
      </c>
    </row>
    <row r="46" spans="1:13" x14ac:dyDescent="0.2">
      <c r="B46" s="6" t="s">
        <v>9</v>
      </c>
      <c r="C46" s="9">
        <f t="shared" si="7"/>
        <v>63000</v>
      </c>
      <c r="D46" s="9">
        <f t="shared" si="8"/>
        <v>13230</v>
      </c>
      <c r="E46" s="9">
        <v>6300</v>
      </c>
      <c r="F46" s="9">
        <v>126000</v>
      </c>
      <c r="G46" s="15"/>
      <c r="H46" s="22"/>
      <c r="K46" s="23">
        <f>$J$44*F46</f>
        <v>-18364.362573052353</v>
      </c>
      <c r="L46" s="23">
        <f t="shared" ref="L46:L51" si="9">L45*(1+$D$21)+F46*$J$44*(1+$D$22)+E46*(1+$D$22)</f>
        <v>30376.055961165843</v>
      </c>
      <c r="M46" s="5" t="s">
        <v>29</v>
      </c>
    </row>
    <row r="47" spans="1:13" x14ac:dyDescent="0.2">
      <c r="B47" s="6" t="s">
        <v>10</v>
      </c>
      <c r="C47" s="9">
        <f t="shared" si="7"/>
        <v>54000</v>
      </c>
      <c r="D47" s="9">
        <f t="shared" si="8"/>
        <v>17280</v>
      </c>
      <c r="E47" s="9">
        <v>5400</v>
      </c>
      <c r="F47" s="9">
        <v>108000</v>
      </c>
      <c r="G47" s="15"/>
      <c r="H47" s="22"/>
      <c r="K47" s="23">
        <f t="shared" ref="K47:K51" si="10">$J$44*F47</f>
        <v>-15740.882205473445</v>
      </c>
      <c r="L47" s="23">
        <f t="shared" si="9"/>
        <v>21736.552758636361</v>
      </c>
      <c r="M47" s="5" t="s">
        <v>29</v>
      </c>
    </row>
    <row r="48" spans="1:13" x14ac:dyDescent="0.2">
      <c r="B48" s="6" t="s">
        <v>11</v>
      </c>
      <c r="C48" s="9">
        <f t="shared" si="7"/>
        <v>45000</v>
      </c>
      <c r="D48" s="9">
        <f t="shared" si="8"/>
        <v>14400</v>
      </c>
      <c r="E48" s="9">
        <v>4500</v>
      </c>
      <c r="F48" s="9">
        <v>90000</v>
      </c>
      <c r="G48" s="15"/>
      <c r="H48" s="22"/>
      <c r="K48" s="23">
        <f>$J$44*F48</f>
        <v>-13117.401837894538</v>
      </c>
      <c r="L48" s="23">
        <f t="shared" si="9"/>
        <v>14295.530919920833</v>
      </c>
      <c r="M48" s="5" t="s">
        <v>29</v>
      </c>
    </row>
    <row r="49" spans="1:14" x14ac:dyDescent="0.2">
      <c r="B49" s="6" t="s">
        <v>12</v>
      </c>
      <c r="C49" s="9">
        <f t="shared" si="7"/>
        <v>36000</v>
      </c>
      <c r="D49" s="9">
        <f t="shared" si="8"/>
        <v>15480</v>
      </c>
      <c r="E49" s="9">
        <v>3600</v>
      </c>
      <c r="F49" s="9">
        <v>72000</v>
      </c>
      <c r="G49" s="15"/>
      <c r="H49" s="22"/>
      <c r="K49" s="23">
        <f t="shared" si="10"/>
        <v>-10493.92147031563</v>
      </c>
      <c r="L49" s="23">
        <f t="shared" si="9"/>
        <v>8133.8879370767063</v>
      </c>
      <c r="M49" s="5" t="s">
        <v>29</v>
      </c>
    </row>
    <row r="50" spans="1:14" x14ac:dyDescent="0.2">
      <c r="B50" s="6" t="s">
        <v>13</v>
      </c>
      <c r="C50" s="9">
        <f t="shared" si="7"/>
        <v>27000</v>
      </c>
      <c r="D50" s="9">
        <f t="shared" si="8"/>
        <v>11610</v>
      </c>
      <c r="E50" s="9">
        <v>2700</v>
      </c>
      <c r="F50" s="9">
        <v>54000</v>
      </c>
      <c r="G50" s="15"/>
      <c r="H50" s="22"/>
      <c r="K50" s="23">
        <f t="shared" si="10"/>
        <v>-7870.4411027367223</v>
      </c>
      <c r="L50" s="23">
        <f t="shared" si="9"/>
        <v>3337.9818828752959</v>
      </c>
      <c r="M50" s="5" t="s">
        <v>29</v>
      </c>
    </row>
    <row r="51" spans="1:14" x14ac:dyDescent="0.2">
      <c r="B51" s="6" t="s">
        <v>14</v>
      </c>
      <c r="C51" s="9">
        <f t="shared" si="7"/>
        <v>18000</v>
      </c>
      <c r="D51" s="9">
        <f t="shared" si="8"/>
        <v>7740</v>
      </c>
      <c r="E51" s="9">
        <v>1800</v>
      </c>
      <c r="F51" s="9">
        <v>36000</v>
      </c>
      <c r="G51" s="15"/>
      <c r="H51" s="22"/>
      <c r="K51" s="23">
        <f t="shared" si="10"/>
        <v>-5246.9607351578152</v>
      </c>
      <c r="L51" s="23">
        <f t="shared" si="9"/>
        <v>-1.2732925824820995E-11</v>
      </c>
      <c r="M51" s="5" t="s">
        <v>29</v>
      </c>
      <c r="N51" s="20"/>
    </row>
    <row r="52" spans="1:14" s="34" customFormat="1" x14ac:dyDescent="0.2"/>
    <row r="53" spans="1:14" s="34" customFormat="1" ht="15" x14ac:dyDescent="0.25">
      <c r="A53" s="2" t="s">
        <v>59</v>
      </c>
    </row>
    <row r="54" spans="1:14" s="34" customFormat="1" ht="15.75" x14ac:dyDescent="0.25">
      <c r="B54" s="38" t="s">
        <v>57</v>
      </c>
    </row>
    <row r="55" spans="1:14" s="34" customFormat="1" ht="15.75" x14ac:dyDescent="0.25">
      <c r="B55" s="39" t="s">
        <v>67</v>
      </c>
    </row>
    <row r="56" spans="1:14" s="34" customFormat="1" ht="15.75" x14ac:dyDescent="0.25">
      <c r="B56" s="39" t="s">
        <v>60</v>
      </c>
    </row>
    <row r="57" spans="1:14" s="34" customFormat="1" x14ac:dyDescent="0.2"/>
    <row r="58" spans="1:14" ht="63.75" x14ac:dyDescent="0.2">
      <c r="B58" s="6"/>
      <c r="C58" s="7" t="s">
        <v>17</v>
      </c>
      <c r="D58" s="7" t="s">
        <v>5</v>
      </c>
      <c r="E58" s="7" t="s">
        <v>6</v>
      </c>
      <c r="F58" s="7" t="s">
        <v>4</v>
      </c>
      <c r="G58" s="40" t="s">
        <v>30</v>
      </c>
      <c r="H58" s="40" t="s">
        <v>31</v>
      </c>
      <c r="I58" s="40" t="s">
        <v>32</v>
      </c>
      <c r="J58" s="40" t="s">
        <v>33</v>
      </c>
      <c r="K58" s="40" t="s">
        <v>34</v>
      </c>
      <c r="L58" s="40" t="s">
        <v>35</v>
      </c>
      <c r="M58" s="34"/>
      <c r="N58" s="16"/>
    </row>
    <row r="59" spans="1:14" x14ac:dyDescent="0.2">
      <c r="B59" s="6" t="s">
        <v>7</v>
      </c>
      <c r="C59" s="9">
        <f t="shared" ref="C59:F66" si="11">C25</f>
        <v>81000</v>
      </c>
      <c r="D59" s="9">
        <f t="shared" si="11"/>
        <v>17010</v>
      </c>
      <c r="E59" s="9">
        <f t="shared" si="11"/>
        <v>72900</v>
      </c>
      <c r="F59" s="9">
        <f t="shared" si="11"/>
        <v>162000</v>
      </c>
      <c r="G59" s="37">
        <f>D59+E59-C59</f>
        <v>8910</v>
      </c>
      <c r="H59" s="37">
        <f t="shared" ref="H59:H66" si="12">L25+L44</f>
        <v>45773.29328543986</v>
      </c>
      <c r="I59" s="37">
        <f>H59-0</f>
        <v>45773.29328543986</v>
      </c>
      <c r="J59" s="37">
        <f t="shared" ref="J59:J66" si="13">I59-G59</f>
        <v>36863.29328543986</v>
      </c>
      <c r="K59" s="37">
        <f>-((G59+K25+K44)*$D$22+0*$D$21)</f>
        <v>-1494.412235437577</v>
      </c>
      <c r="L59" s="37">
        <f t="shared" ref="L59:L66" si="14">J59+K59</f>
        <v>35368.881050002281</v>
      </c>
      <c r="M59" s="34" t="s">
        <v>36</v>
      </c>
      <c r="N59" s="21"/>
    </row>
    <row r="60" spans="1:14" x14ac:dyDescent="0.2">
      <c r="B60" s="6" t="s">
        <v>8</v>
      </c>
      <c r="C60" s="9">
        <f t="shared" si="11"/>
        <v>72000</v>
      </c>
      <c r="D60" s="9">
        <f t="shared" si="11"/>
        <v>15120</v>
      </c>
      <c r="E60" s="9">
        <f t="shared" si="11"/>
        <v>7200</v>
      </c>
      <c r="F60" s="9">
        <f t="shared" si="11"/>
        <v>144000</v>
      </c>
      <c r="G60" s="37">
        <f>D60+E60-C60</f>
        <v>-49680</v>
      </c>
      <c r="H60" s="37">
        <f t="shared" si="12"/>
        <v>30006.362391486909</v>
      </c>
      <c r="I60" s="37">
        <f>H60-H59</f>
        <v>-15766.930893952951</v>
      </c>
      <c r="J60" s="37">
        <f>I60-G60</f>
        <v>33913.069106047049</v>
      </c>
      <c r="K60" s="37">
        <f t="shared" ref="K60:K66" si="15">-((G60+K26+K45)*$D$22+H59*$D$21)</f>
        <v>-2474.0637282672592</v>
      </c>
      <c r="L60" s="37">
        <f t="shared" si="14"/>
        <v>31439.005377779791</v>
      </c>
      <c r="M60" s="34" t="s">
        <v>36</v>
      </c>
      <c r="N60" s="21"/>
    </row>
    <row r="61" spans="1:14" x14ac:dyDescent="0.2">
      <c r="B61" s="6" t="s">
        <v>9</v>
      </c>
      <c r="C61" s="9">
        <f t="shared" si="11"/>
        <v>63000</v>
      </c>
      <c r="D61" s="9">
        <f t="shared" si="11"/>
        <v>13230</v>
      </c>
      <c r="E61" s="9">
        <f t="shared" si="11"/>
        <v>6300</v>
      </c>
      <c r="F61" s="9">
        <f t="shared" si="11"/>
        <v>126000</v>
      </c>
      <c r="G61" s="37">
        <f>D61+E61-C61</f>
        <v>-43470</v>
      </c>
      <c r="H61" s="37">
        <f t="shared" si="12"/>
        <v>15532.242186032159</v>
      </c>
      <c r="I61" s="37">
        <f>H61-H60</f>
        <v>-14474.12020545475</v>
      </c>
      <c r="J61" s="37">
        <f>I61-G61</f>
        <v>28995.87979454525</v>
      </c>
      <c r="K61" s="37">
        <f t="shared" si="15"/>
        <v>-1486.7500889879261</v>
      </c>
      <c r="L61" s="37">
        <f t="shared" si="14"/>
        <v>27509.129705557323</v>
      </c>
      <c r="M61" s="34" t="s">
        <v>36</v>
      </c>
      <c r="N61" s="21"/>
    </row>
    <row r="62" spans="1:14" x14ac:dyDescent="0.2">
      <c r="B62" s="6" t="s">
        <v>10</v>
      </c>
      <c r="C62" s="9">
        <f t="shared" si="11"/>
        <v>54000</v>
      </c>
      <c r="D62" s="9">
        <f t="shared" si="11"/>
        <v>17280</v>
      </c>
      <c r="E62" s="9">
        <f t="shared" si="11"/>
        <v>5400</v>
      </c>
      <c r="F62" s="9">
        <f t="shared" si="11"/>
        <v>108000</v>
      </c>
      <c r="G62" s="37">
        <f>D62+E62-C62</f>
        <v>-31320</v>
      </c>
      <c r="H62" s="37">
        <f t="shared" si="12"/>
        <v>8578.6723905492327</v>
      </c>
      <c r="I62" s="37">
        <f>H62-H61</f>
        <v>-6953.5697954829266</v>
      </c>
      <c r="J62" s="37">
        <f t="shared" si="13"/>
        <v>24366.430204517073</v>
      </c>
      <c r="K62" s="37">
        <f t="shared" si="15"/>
        <v>-787.17617118222222</v>
      </c>
      <c r="L62" s="37">
        <f t="shared" si="14"/>
        <v>23579.254033334852</v>
      </c>
      <c r="M62" s="34" t="s">
        <v>36</v>
      </c>
      <c r="N62" s="21"/>
    </row>
    <row r="63" spans="1:14" x14ac:dyDescent="0.2">
      <c r="B63" s="6" t="s">
        <v>11</v>
      </c>
      <c r="C63" s="9">
        <f t="shared" si="11"/>
        <v>45000</v>
      </c>
      <c r="D63" s="9">
        <f t="shared" si="11"/>
        <v>14400</v>
      </c>
      <c r="E63" s="9">
        <f t="shared" si="11"/>
        <v>4500</v>
      </c>
      <c r="F63" s="9">
        <f t="shared" si="11"/>
        <v>90000</v>
      </c>
      <c r="G63" s="37">
        <f t="shared" ref="G63:G66" si="16">D63+E63-C63</f>
        <v>-26100</v>
      </c>
      <c r="H63" s="37">
        <f t="shared" si="12"/>
        <v>2489.4026577112181</v>
      </c>
      <c r="I63" s="37">
        <f t="shared" ref="I63:I66" si="17">H63-H62</f>
        <v>-6089.2697328380145</v>
      </c>
      <c r="J63" s="37">
        <f t="shared" si="13"/>
        <v>20010.730267161984</v>
      </c>
      <c r="K63" s="37">
        <f t="shared" si="15"/>
        <v>-361.35190604961588</v>
      </c>
      <c r="L63" s="37">
        <f t="shared" si="14"/>
        <v>19649.378361112369</v>
      </c>
      <c r="M63" s="34" t="s">
        <v>36</v>
      </c>
      <c r="N63" s="21"/>
    </row>
    <row r="64" spans="1:14" x14ac:dyDescent="0.2">
      <c r="B64" s="6" t="s">
        <v>12</v>
      </c>
      <c r="C64" s="9">
        <f t="shared" si="11"/>
        <v>36000</v>
      </c>
      <c r="D64" s="9">
        <f t="shared" si="11"/>
        <v>15480</v>
      </c>
      <c r="E64" s="9">
        <f t="shared" si="11"/>
        <v>3600</v>
      </c>
      <c r="F64" s="9">
        <f t="shared" si="11"/>
        <v>72000</v>
      </c>
      <c r="G64" s="37">
        <f t="shared" si="16"/>
        <v>-16920</v>
      </c>
      <c r="H64" s="37">
        <f t="shared" si="12"/>
        <v>1416.4232417466592</v>
      </c>
      <c r="I64" s="37">
        <f>H64-H63</f>
        <v>-1072.9794159645589</v>
      </c>
      <c r="J64" s="37">
        <f t="shared" si="13"/>
        <v>15847.020584035441</v>
      </c>
      <c r="K64" s="37">
        <f t="shared" si="15"/>
        <v>-127.51789514554133</v>
      </c>
      <c r="L64" s="37">
        <f t="shared" si="14"/>
        <v>15719.502688889899</v>
      </c>
      <c r="M64" s="34" t="s">
        <v>36</v>
      </c>
      <c r="N64" s="21"/>
    </row>
    <row r="65" spans="1:14" x14ac:dyDescent="0.2">
      <c r="B65" s="6" t="s">
        <v>13</v>
      </c>
      <c r="C65" s="9">
        <f t="shared" si="11"/>
        <v>27000</v>
      </c>
      <c r="D65" s="9">
        <f t="shared" si="11"/>
        <v>11610</v>
      </c>
      <c r="E65" s="9">
        <f t="shared" si="11"/>
        <v>2700</v>
      </c>
      <c r="F65" s="9">
        <f t="shared" si="11"/>
        <v>54000</v>
      </c>
      <c r="G65" s="37">
        <f t="shared" si="16"/>
        <v>-12690</v>
      </c>
      <c r="H65" s="37">
        <f t="shared" si="12"/>
        <v>581.27123904451037</v>
      </c>
      <c r="I65" s="37">
        <f t="shared" si="17"/>
        <v>-835.15200270214882</v>
      </c>
      <c r="J65" s="37">
        <f t="shared" si="13"/>
        <v>11854.847997297851</v>
      </c>
      <c r="K65" s="37">
        <f t="shared" si="15"/>
        <v>-65.220980630425174</v>
      </c>
      <c r="L65" s="37">
        <f t="shared" si="14"/>
        <v>11789.627016667426</v>
      </c>
      <c r="M65" s="34" t="s">
        <v>36</v>
      </c>
      <c r="N65" s="21"/>
    </row>
    <row r="66" spans="1:14" x14ac:dyDescent="0.2">
      <c r="B66" s="6" t="s">
        <v>14</v>
      </c>
      <c r="C66" s="9">
        <f t="shared" si="11"/>
        <v>18000</v>
      </c>
      <c r="D66" s="9">
        <f t="shared" si="11"/>
        <v>7740</v>
      </c>
      <c r="E66" s="9">
        <f t="shared" si="11"/>
        <v>1800</v>
      </c>
      <c r="F66" s="9">
        <f t="shared" si="11"/>
        <v>36000</v>
      </c>
      <c r="G66" s="37">
        <f t="shared" si="16"/>
        <v>-8460</v>
      </c>
      <c r="H66" s="37">
        <f t="shared" si="12"/>
        <v>-1.2732925824820995E-11</v>
      </c>
      <c r="I66" s="37">
        <f t="shared" si="17"/>
        <v>-581.2712390445231</v>
      </c>
      <c r="J66" s="37">
        <f t="shared" si="13"/>
        <v>7878.7287609554769</v>
      </c>
      <c r="K66" s="37">
        <f t="shared" si="15"/>
        <v>-18.977416510521504</v>
      </c>
      <c r="L66" s="37">
        <f t="shared" si="14"/>
        <v>7859.7513444449551</v>
      </c>
      <c r="M66" s="34" t="s">
        <v>36</v>
      </c>
      <c r="N66" s="21"/>
    </row>
    <row r="67" spans="1:14" x14ac:dyDescent="0.2">
      <c r="C67" s="22"/>
      <c r="D67" s="22"/>
      <c r="G67" s="30"/>
      <c r="H67" s="30"/>
      <c r="I67" s="30"/>
      <c r="J67" s="30"/>
      <c r="K67" s="30"/>
      <c r="L67" s="30"/>
    </row>
    <row r="68" spans="1:14" ht="15" x14ac:dyDescent="0.25">
      <c r="A68" s="2" t="s">
        <v>61</v>
      </c>
      <c r="G68" s="34"/>
      <c r="H68" s="34"/>
      <c r="I68" s="34"/>
      <c r="J68" s="34"/>
      <c r="K68" s="37"/>
      <c r="L68" s="34"/>
    </row>
    <row r="69" spans="1:14" ht="15.75" x14ac:dyDescent="0.25">
      <c r="A69" s="2"/>
      <c r="B69" s="38" t="s">
        <v>57</v>
      </c>
      <c r="G69" s="34"/>
      <c r="H69" s="34"/>
      <c r="I69" s="34"/>
      <c r="J69" s="34"/>
      <c r="K69" s="37"/>
      <c r="L69" s="34"/>
    </row>
    <row r="70" spans="1:14" ht="15.75" x14ac:dyDescent="0.25">
      <c r="A70" s="2"/>
      <c r="B70" s="39" t="s">
        <v>68</v>
      </c>
      <c r="G70" s="34"/>
      <c r="H70" s="34"/>
      <c r="I70" s="34"/>
      <c r="J70" s="34"/>
      <c r="K70" s="37"/>
      <c r="L70" s="34"/>
    </row>
    <row r="71" spans="1:14" x14ac:dyDescent="0.2">
      <c r="A71" s="16"/>
      <c r="K71" s="23"/>
    </row>
    <row r="72" spans="1:14" x14ac:dyDescent="0.2">
      <c r="D72" s="64" t="s">
        <v>37</v>
      </c>
      <c r="E72" s="64"/>
      <c r="F72" s="64"/>
      <c r="G72" s="64"/>
    </row>
    <row r="73" spans="1:14" x14ac:dyDescent="0.2">
      <c r="D73" s="64" t="s">
        <v>38</v>
      </c>
      <c r="E73" s="64"/>
      <c r="F73" s="64" t="s">
        <v>39</v>
      </c>
      <c r="G73" s="64"/>
    </row>
    <row r="74" spans="1:14" x14ac:dyDescent="0.2">
      <c r="D74" s="24" t="s">
        <v>40</v>
      </c>
      <c r="E74" s="24" t="s">
        <v>41</v>
      </c>
      <c r="F74" s="24" t="s">
        <v>40</v>
      </c>
      <c r="G74" s="24" t="s">
        <v>41</v>
      </c>
    </row>
    <row r="75" spans="1:14" x14ac:dyDescent="0.2">
      <c r="B75" s="25" t="s">
        <v>42</v>
      </c>
      <c r="C75" s="25"/>
      <c r="D75" s="6"/>
      <c r="E75" s="6"/>
      <c r="F75" s="6"/>
      <c r="G75" s="6"/>
    </row>
    <row r="76" spans="1:14" x14ac:dyDescent="0.2">
      <c r="C76" s="26" t="s">
        <v>43</v>
      </c>
      <c r="D76" s="27">
        <f>G59</f>
        <v>8910</v>
      </c>
      <c r="E76" s="6"/>
      <c r="F76" s="6"/>
      <c r="G76" s="6"/>
      <c r="H76" s="5" t="s">
        <v>44</v>
      </c>
    </row>
    <row r="77" spans="1:14" x14ac:dyDescent="0.2">
      <c r="C77" s="26" t="s">
        <v>45</v>
      </c>
      <c r="D77" s="6"/>
      <c r="E77" s="6"/>
      <c r="F77" s="9">
        <f>C59</f>
        <v>81000</v>
      </c>
      <c r="G77" s="6"/>
      <c r="H77" s="5" t="s">
        <v>46</v>
      </c>
    </row>
    <row r="78" spans="1:14" x14ac:dyDescent="0.2">
      <c r="C78" s="26" t="s">
        <v>47</v>
      </c>
      <c r="D78" s="6"/>
      <c r="E78" s="6"/>
      <c r="F78" s="6"/>
      <c r="G78" s="9">
        <f>D59</f>
        <v>17010</v>
      </c>
      <c r="H78" s="5" t="s">
        <v>48</v>
      </c>
    </row>
    <row r="79" spans="1:14" x14ac:dyDescent="0.2">
      <c r="C79" s="26" t="s">
        <v>49</v>
      </c>
      <c r="D79" s="6"/>
      <c r="E79" s="6"/>
      <c r="F79" s="6"/>
      <c r="G79" s="9">
        <f>E59</f>
        <v>72900</v>
      </c>
      <c r="H79" s="5" t="s">
        <v>50</v>
      </c>
    </row>
    <row r="80" spans="1:14" x14ac:dyDescent="0.2">
      <c r="B80" s="25"/>
      <c r="C80" s="25"/>
      <c r="D80" s="6"/>
      <c r="E80" s="6"/>
      <c r="F80" s="6"/>
      <c r="G80" s="6"/>
    </row>
    <row r="81" spans="2:8" x14ac:dyDescent="0.2">
      <c r="B81" s="28" t="s">
        <v>51</v>
      </c>
      <c r="C81" s="25"/>
      <c r="D81" s="6"/>
      <c r="E81" s="6"/>
      <c r="F81" s="6"/>
      <c r="G81" s="6"/>
      <c r="H81" s="16"/>
    </row>
    <row r="82" spans="2:8" x14ac:dyDescent="0.2">
      <c r="C82" s="26" t="s">
        <v>52</v>
      </c>
      <c r="D82" s="27">
        <f>-L25</f>
        <v>5178.8762446978799</v>
      </c>
      <c r="E82" s="6"/>
      <c r="F82" s="6"/>
      <c r="G82" s="6"/>
      <c r="H82" s="5" t="s">
        <v>53</v>
      </c>
    </row>
    <row r="83" spans="2:8" x14ac:dyDescent="0.2">
      <c r="C83" s="26" t="s">
        <v>47</v>
      </c>
      <c r="D83" s="6"/>
      <c r="E83" s="6"/>
      <c r="F83" s="6"/>
      <c r="G83" s="27">
        <f>-L25</f>
        <v>5178.8762446978799</v>
      </c>
      <c r="H83" s="5" t="s">
        <v>53</v>
      </c>
    </row>
    <row r="84" spans="2:8" x14ac:dyDescent="0.2">
      <c r="C84" s="26" t="s">
        <v>49</v>
      </c>
      <c r="D84" s="6"/>
      <c r="E84" s="6"/>
      <c r="F84" s="27">
        <f>L44</f>
        <v>50952.16953013774</v>
      </c>
      <c r="G84" s="6"/>
      <c r="H84" s="5" t="s">
        <v>54</v>
      </c>
    </row>
    <row r="85" spans="2:8" x14ac:dyDescent="0.2">
      <c r="C85" s="26" t="s">
        <v>55</v>
      </c>
      <c r="D85" s="6"/>
      <c r="E85" s="29">
        <f>L44</f>
        <v>50952.16953013774</v>
      </c>
      <c r="F85" s="6"/>
      <c r="G85" s="6"/>
      <c r="H85" s="5" t="s">
        <v>54</v>
      </c>
    </row>
  </sheetData>
  <mergeCells count="3">
    <mergeCell ref="D72:G72"/>
    <mergeCell ref="D73:E73"/>
    <mergeCell ref="F73:G73"/>
  </mergeCells>
  <pageMargins left="0.7" right="0.7" top="0.75" bottom="0.75" header="0.3" footer="0.3"/>
  <pageSetup orientation="portrait" r:id="rId1"/>
  <headerFooter>
    <oddFooter>&amp;C&amp;1#&amp;"Calibri"&amp;10&amp;K000000CONFIDENTIAL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438F-1E4B-4024-85E8-9692AE0F7569}">
  <dimension ref="A1:O66"/>
  <sheetViews>
    <sheetView tabSelected="1" zoomScale="70" zoomScaleNormal="70" workbookViewId="0">
      <selection activeCell="C9" sqref="C9"/>
    </sheetView>
  </sheetViews>
  <sheetFormatPr defaultColWidth="8.7109375" defaultRowHeight="12.75" x14ac:dyDescent="0.2"/>
  <cols>
    <col min="1" max="1" width="8.7109375" style="41"/>
    <col min="2" max="2" width="19.42578125" style="41" bestFit="1" customWidth="1"/>
    <col min="3" max="3" width="20.7109375" style="41" customWidth="1"/>
    <col min="4" max="4" width="12.42578125" style="41" bestFit="1" customWidth="1"/>
    <col min="5" max="5" width="12.5703125" style="41" customWidth="1"/>
    <col min="6" max="6" width="12.42578125" style="41" bestFit="1" customWidth="1"/>
    <col min="7" max="7" width="17.28515625" style="41" bestFit="1" customWidth="1"/>
    <col min="8" max="8" width="12.5703125" style="41" bestFit="1" customWidth="1"/>
    <col min="9" max="9" width="10.42578125" style="41" bestFit="1" customWidth="1"/>
    <col min="10" max="11" width="12.5703125" style="41" bestFit="1" customWidth="1"/>
    <col min="12" max="16384" width="8.7109375" style="41"/>
  </cols>
  <sheetData>
    <row r="1" spans="1:15" x14ac:dyDescent="0.2">
      <c r="A1" s="45" t="s">
        <v>117</v>
      </c>
      <c r="D1" s="62" t="s">
        <v>114</v>
      </c>
      <c r="E1" s="62" t="s">
        <v>113</v>
      </c>
      <c r="F1" s="41" t="s">
        <v>112</v>
      </c>
      <c r="H1" s="62" t="s">
        <v>109</v>
      </c>
    </row>
    <row r="2" spans="1:15" x14ac:dyDescent="0.2">
      <c r="A2" s="41" t="s">
        <v>1</v>
      </c>
      <c r="B2" s="41" t="s">
        <v>111</v>
      </c>
      <c r="C2" s="63">
        <v>5.5E-2</v>
      </c>
      <c r="D2" s="62" t="s">
        <v>101</v>
      </c>
      <c r="E2" s="62" t="s">
        <v>110</v>
      </c>
      <c r="F2" s="62" t="s">
        <v>110</v>
      </c>
      <c r="G2" s="62" t="s">
        <v>109</v>
      </c>
      <c r="H2" s="62" t="s">
        <v>108</v>
      </c>
      <c r="J2" s="62" t="s">
        <v>107</v>
      </c>
      <c r="K2" s="62" t="s">
        <v>107</v>
      </c>
    </row>
    <row r="3" spans="1:15" x14ac:dyDescent="0.2">
      <c r="B3" s="61" t="s">
        <v>106</v>
      </c>
      <c r="C3" s="61" t="s">
        <v>105</v>
      </c>
      <c r="D3" s="61" t="s">
        <v>104</v>
      </c>
      <c r="E3" s="61" t="s">
        <v>103</v>
      </c>
      <c r="F3" s="61" t="s">
        <v>103</v>
      </c>
      <c r="G3" s="61" t="s">
        <v>102</v>
      </c>
      <c r="H3" s="61" t="s">
        <v>101</v>
      </c>
      <c r="I3" s="61" t="s">
        <v>100</v>
      </c>
      <c r="J3" s="61" t="s">
        <v>99</v>
      </c>
      <c r="K3" s="61" t="s">
        <v>99</v>
      </c>
      <c r="L3" s="60" t="s">
        <v>98</v>
      </c>
      <c r="M3" s="59"/>
      <c r="N3" s="59"/>
      <c r="O3" s="59"/>
    </row>
    <row r="4" spans="1:15" ht="15" x14ac:dyDescent="0.25">
      <c r="B4" s="41">
        <v>1</v>
      </c>
      <c r="C4" s="55">
        <v>10000</v>
      </c>
      <c r="D4" s="57">
        <v>3806</v>
      </c>
      <c r="E4" s="57">
        <f>(SUM(H5:H$9)-G$11*SUM(G5:G$9))*(1+C$2)^B4</f>
        <v>2524.0681318155825</v>
      </c>
      <c r="F4" s="57">
        <f>(G$11*C4)*(1+C$2)-D4</f>
        <v>2524.0681318155839</v>
      </c>
      <c r="G4" s="57">
        <f>C4*(1+C$2)^(-B4+1)</f>
        <v>10000</v>
      </c>
      <c r="H4" s="57">
        <f>D4*(1+C$2)^-B4</f>
        <v>3607.5829383886257</v>
      </c>
      <c r="I4" s="57">
        <f>C4-E4-D4/(1+C$2)+C$2/(1+C$2)*(E4)</f>
        <v>3999.9354200800167</v>
      </c>
      <c r="J4" s="57">
        <f>I4/C4</f>
        <v>0.39999354200800169</v>
      </c>
      <c r="K4" s="57">
        <f>1-G$11</f>
        <v>0.39999354200800152</v>
      </c>
    </row>
    <row r="5" spans="1:15" ht="15" x14ac:dyDescent="0.25">
      <c r="B5" s="41">
        <f>B4+1</f>
        <v>2</v>
      </c>
      <c r="C5" s="55">
        <v>8499</v>
      </c>
      <c r="D5" s="57">
        <v>4738</v>
      </c>
      <c r="E5" s="58">
        <f>(SUM(H6:H$9)-G$11*SUM(G6:G$9))*(1+C$2)^B5</f>
        <v>3304.8167842955027</v>
      </c>
      <c r="F5" s="58">
        <f>(F4+G$11*C5)*(1+C$2)-D5</f>
        <v>3304.8167842955054</v>
      </c>
      <c r="G5" s="57">
        <f>C5*(1+C$2)^(-B5+1)</f>
        <v>8055.9241706161138</v>
      </c>
      <c r="H5" s="57">
        <f>D5*(1+C$2)^-B5</f>
        <v>4256.8675456526134</v>
      </c>
      <c r="I5" s="57">
        <f>C5-D5/(1+C$2)-E5+E4+C$2/(1+C$2)*E5</f>
        <v>3399.5451135260068</v>
      </c>
      <c r="J5" s="57">
        <f>I5/C5</f>
        <v>0.39999354200800175</v>
      </c>
      <c r="K5" s="57">
        <f>1-G$11</f>
        <v>0.39999354200800152</v>
      </c>
    </row>
    <row r="6" spans="1:15" ht="15" x14ac:dyDescent="0.25">
      <c r="B6" s="41">
        <f>B5+1</f>
        <v>3</v>
      </c>
      <c r="C6" s="55">
        <v>7476</v>
      </c>
      <c r="D6" s="57">
        <v>5407</v>
      </c>
      <c r="E6" s="57">
        <f>(SUM(H7:H$9)-G$11*SUM(G7:G$9))*(1+C$2)^B6</f>
        <v>2811.9406427770841</v>
      </c>
      <c r="F6" s="57">
        <f>(F5+G$11*C6)*(1+C$2)-D6</f>
        <v>2811.9406427770882</v>
      </c>
      <c r="G6" s="57">
        <f>C6*(1+C$2)^(-B6+1)</f>
        <v>6716.8302598773616</v>
      </c>
      <c r="H6" s="57">
        <f>D6*(1+C$2)^-B6</f>
        <v>4604.675082241929</v>
      </c>
      <c r="I6" s="57">
        <f>C6-D6/(1+C$2)-E6+E5+C$2/(1+C$2)*E6</f>
        <v>2990.3517200518208</v>
      </c>
      <c r="J6" s="57">
        <f>I6/C6</f>
        <v>0.39999354200800175</v>
      </c>
      <c r="K6" s="57">
        <f>1-G$11</f>
        <v>0.39999354200800152</v>
      </c>
    </row>
    <row r="7" spans="1:15" ht="15" x14ac:dyDescent="0.25">
      <c r="B7" s="41">
        <f>B6+1</f>
        <v>4</v>
      </c>
      <c r="C7" s="55">
        <v>6801</v>
      </c>
      <c r="D7" s="57">
        <v>5561</v>
      </c>
      <c r="E7" s="57">
        <f>(SUM(H8:H$9)-G$11*SUM(G8:G$9))*(1+C$2)^B7</f>
        <v>1710.6767145776009</v>
      </c>
      <c r="F7" s="57">
        <f>(F6+G$11*C7)*(1+C$2)-D7</f>
        <v>1710.6767145776066</v>
      </c>
      <c r="G7" s="57">
        <f>C7*(1+C$2)^(-B7+1)</f>
        <v>5791.8245301141778</v>
      </c>
      <c r="H7" s="57">
        <f>D7*(1+C$2)^-B7</f>
        <v>4488.9323095035434</v>
      </c>
      <c r="I7" s="57">
        <f>C7-D7/(1+C$2)-E7+E6+C$2/(1+C$2)*E7</f>
        <v>2720.3560791964196</v>
      </c>
      <c r="J7" s="57">
        <f>I7/C7</f>
        <v>0.39999354200800169</v>
      </c>
      <c r="K7" s="57">
        <f>1-G$11</f>
        <v>0.39999354200800152</v>
      </c>
    </row>
    <row r="8" spans="1:15" ht="15" x14ac:dyDescent="0.25">
      <c r="B8" s="41">
        <f>B7+1</f>
        <v>5</v>
      </c>
      <c r="C8" s="55">
        <v>6321</v>
      </c>
      <c r="D8" s="57">
        <v>5806</v>
      </c>
      <c r="E8" s="57">
        <f>(SUM(H9:H$9)-G$11*SUM(G9:G$9))*(1+C$2)^B8</f>
        <v>0</v>
      </c>
      <c r="F8" s="57">
        <f>(F7+G$11*C8)*(1+C$2)-D8</f>
        <v>0</v>
      </c>
      <c r="G8" s="57">
        <f>C8*(1+C$2)^(-B8+1)</f>
        <v>5102.4170344132162</v>
      </c>
      <c r="H8" s="57">
        <f>D8*(1+C$2)^-B8</f>
        <v>4442.3700584005519</v>
      </c>
      <c r="I8" s="57">
        <f>C8-D8/(1+C$2)-E8+E7+C$2/(1+C$2)*E8</f>
        <v>2528.3591790325772</v>
      </c>
      <c r="J8" s="57">
        <f>I8/C8</f>
        <v>0.39999354200800147</v>
      </c>
      <c r="K8" s="57">
        <f>1-G$11</f>
        <v>0.39999354200800152</v>
      </c>
    </row>
    <row r="9" spans="1:15" x14ac:dyDescent="0.2">
      <c r="C9" s="55"/>
      <c r="D9" s="55"/>
    </row>
    <row r="10" spans="1:15" ht="15" x14ac:dyDescent="0.25">
      <c r="C10" s="55"/>
      <c r="D10" s="55"/>
      <c r="E10" s="41" t="s">
        <v>96</v>
      </c>
      <c r="G10" s="57">
        <f>SUM(G4:G8)</f>
        <v>35666.995995020865</v>
      </c>
      <c r="H10" s="57">
        <f>SUM(H4:H8)</f>
        <v>21400.427934187264</v>
      </c>
    </row>
    <row r="11" spans="1:15" x14ac:dyDescent="0.2">
      <c r="C11" s="55"/>
      <c r="D11" s="55"/>
      <c r="E11" s="41" t="s">
        <v>95</v>
      </c>
      <c r="G11" s="42">
        <f>H10/G10</f>
        <v>0.60000645799199848</v>
      </c>
    </row>
    <row r="12" spans="1:15" x14ac:dyDescent="0.2">
      <c r="C12" s="55"/>
      <c r="D12" s="55"/>
      <c r="E12" s="45" t="s">
        <v>116</v>
      </c>
      <c r="F12" s="45"/>
      <c r="G12" s="56">
        <f>F5</f>
        <v>3304.8167842955054</v>
      </c>
    </row>
    <row r="13" spans="1:15" x14ac:dyDescent="0.2">
      <c r="C13" s="55"/>
      <c r="D13" s="55"/>
    </row>
    <row r="16" spans="1:15" x14ac:dyDescent="0.2">
      <c r="A16" s="41" t="s">
        <v>115</v>
      </c>
    </row>
    <row r="17" spans="1:15" x14ac:dyDescent="0.2">
      <c r="D17" s="62" t="s">
        <v>114</v>
      </c>
      <c r="E17" s="62" t="s">
        <v>113</v>
      </c>
      <c r="F17" s="41" t="s">
        <v>112</v>
      </c>
      <c r="H17" s="62" t="s">
        <v>109</v>
      </c>
    </row>
    <row r="18" spans="1:15" x14ac:dyDescent="0.2">
      <c r="B18" s="41" t="s">
        <v>111</v>
      </c>
      <c r="C18" s="63">
        <v>5.5E-2</v>
      </c>
      <c r="D18" s="62" t="s">
        <v>101</v>
      </c>
      <c r="E18" s="62" t="s">
        <v>110</v>
      </c>
      <c r="F18" s="62" t="s">
        <v>110</v>
      </c>
      <c r="G18" s="62" t="s">
        <v>109</v>
      </c>
      <c r="H18" s="62" t="s">
        <v>108</v>
      </c>
      <c r="J18" s="62" t="s">
        <v>107</v>
      </c>
      <c r="K18" s="62" t="s">
        <v>107</v>
      </c>
    </row>
    <row r="19" spans="1:15" x14ac:dyDescent="0.2">
      <c r="A19" s="59"/>
      <c r="B19" s="61" t="s">
        <v>106</v>
      </c>
      <c r="C19" s="61" t="s">
        <v>105</v>
      </c>
      <c r="D19" s="61" t="s">
        <v>104</v>
      </c>
      <c r="E19" s="61" t="s">
        <v>103</v>
      </c>
      <c r="F19" s="61" t="s">
        <v>103</v>
      </c>
      <c r="G19" s="61" t="s">
        <v>102</v>
      </c>
      <c r="H19" s="61" t="s">
        <v>101</v>
      </c>
      <c r="I19" s="61" t="s">
        <v>100</v>
      </c>
      <c r="J19" s="61" t="s">
        <v>99</v>
      </c>
      <c r="K19" s="61" t="s">
        <v>99</v>
      </c>
      <c r="L19" s="60" t="s">
        <v>98</v>
      </c>
      <c r="M19" s="59"/>
      <c r="N19" s="59"/>
      <c r="O19" s="59"/>
    </row>
    <row r="20" spans="1:15" ht="15" x14ac:dyDescent="0.25">
      <c r="B20" s="41">
        <v>1</v>
      </c>
      <c r="C20" s="55">
        <v>10000</v>
      </c>
      <c r="D20" s="55">
        <v>3806</v>
      </c>
      <c r="E20" s="57">
        <f>(SUM(H21:H$25)-G$27*SUM(G21:G$25))*(1+C$18)^B20</f>
        <v>2728.3718056844177</v>
      </c>
      <c r="F20" s="57">
        <f>(G$27*C20)*(1+C$18)-D20</f>
        <v>2728.3718056844209</v>
      </c>
      <c r="G20" s="57">
        <f>C20*(1+C$18)^(-B20+1)</f>
        <v>10000</v>
      </c>
      <c r="H20" s="57">
        <f>D20*(1+C$18)^-B20</f>
        <v>3607.5829383886257</v>
      </c>
      <c r="I20" s="57">
        <f>C20-E20-D20/(1+C$18)+C$18/(1+C$18)*(E20)</f>
        <v>3806.2826486403628</v>
      </c>
      <c r="J20" s="42">
        <f>I20/C20</f>
        <v>0.38062826486403628</v>
      </c>
      <c r="K20" s="42">
        <f>1-G$27</f>
        <v>0.38062826486403589</v>
      </c>
    </row>
    <row r="21" spans="1:15" ht="15" x14ac:dyDescent="0.25">
      <c r="B21" s="41">
        <f>B20+1</f>
        <v>2</v>
      </c>
      <c r="C21" s="55">
        <v>8499</v>
      </c>
      <c r="D21" s="55">
        <v>4738</v>
      </c>
      <c r="E21" s="57">
        <f>(SUM(H22:H$25)-G$27*SUM(G22:G$25))*(1+C$18)^B21</f>
        <v>3693.994852648249</v>
      </c>
      <c r="F21" s="57">
        <f>(F20+G$27*C21)*(1+C$18)-D21</f>
        <v>3693.9948526482531</v>
      </c>
      <c r="G21" s="57">
        <f>C21*(1+C$18)^(-B21+1)</f>
        <v>8055.9241706161138</v>
      </c>
      <c r="H21" s="57">
        <f>D21*(1+C$18)^-B21</f>
        <v>4256.8675456526134</v>
      </c>
      <c r="I21" s="57">
        <f>C21-D21/(1+C$2)-E21+E20+C$2/(1+C$2)*E21</f>
        <v>3234.9596230794423</v>
      </c>
      <c r="J21" s="42">
        <f>I21/C21</f>
        <v>0.38062826486403606</v>
      </c>
      <c r="K21" s="42">
        <f>1-G$27</f>
        <v>0.38062826486403589</v>
      </c>
    </row>
    <row r="22" spans="1:15" ht="15" x14ac:dyDescent="0.25">
      <c r="B22" s="41">
        <f>B21+1</f>
        <v>3</v>
      </c>
      <c r="C22" s="55">
        <v>7476</v>
      </c>
      <c r="D22" s="55">
        <f>D6*1.15</f>
        <v>6218.0499999999993</v>
      </c>
      <c r="E22" s="58">
        <f>(SUM(H23:H$25)-G$27*SUM(G23:G$25))*(1+C$18)^B22</f>
        <v>2564.2109314735749</v>
      </c>
      <c r="F22" s="58">
        <f>(F21+G$27*C22)*(1+C$18)-D22</f>
        <v>2564.2109314735808</v>
      </c>
      <c r="G22" s="57">
        <f>C22*(1+C$18)^(-B22+1)</f>
        <v>6716.8302598773616</v>
      </c>
      <c r="H22" s="57">
        <f>D22*(1+C$18)^-B22</f>
        <v>5295.3763445782179</v>
      </c>
      <c r="I22" s="57">
        <f>C22-D22/(1+C$2)-E22+E21+C$2/(1+C$2)*E22</f>
        <v>2845.5769081235335</v>
      </c>
      <c r="J22" s="42">
        <f>I22/C22</f>
        <v>0.38062826486403606</v>
      </c>
      <c r="K22" s="42">
        <f>1-G$27</f>
        <v>0.38062826486403589</v>
      </c>
      <c r="L22" s="41" t="s">
        <v>97</v>
      </c>
    </row>
    <row r="23" spans="1:15" ht="15" x14ac:dyDescent="0.25">
      <c r="B23" s="41">
        <f>B22+1</f>
        <v>4</v>
      </c>
      <c r="C23" s="55">
        <v>6801</v>
      </c>
      <c r="D23" s="55">
        <v>5561</v>
      </c>
      <c r="E23" s="57">
        <f>(SUM(H24:H$25)-G$27*SUM(G24:G$25))*(1+C$18)^B23</f>
        <v>1588.2687977505943</v>
      </c>
      <c r="F23" s="57">
        <f>(F22+G$27*C23)*(1+C$18)-D23</f>
        <v>1588.2687977506021</v>
      </c>
      <c r="G23" s="57">
        <f>C23*(1+C$18)^(-B23+1)</f>
        <v>5791.8245301141778</v>
      </c>
      <c r="H23" s="57">
        <f>D23*(1+C$18)^-B23</f>
        <v>4488.9323095035434</v>
      </c>
      <c r="I23" s="57">
        <f>C23-D23/(1+C$2)-E23+E22+C$2/(1+C$2)*E23</f>
        <v>2588.6528293403098</v>
      </c>
      <c r="J23" s="42">
        <f>I23/C23</f>
        <v>0.38062826486403617</v>
      </c>
      <c r="K23" s="42">
        <f>1-G$27</f>
        <v>0.38062826486403589</v>
      </c>
    </row>
    <row r="24" spans="1:15" ht="15" x14ac:dyDescent="0.25">
      <c r="B24" s="41">
        <f>B23+1</f>
        <v>5</v>
      </c>
      <c r="C24" s="55">
        <v>6321</v>
      </c>
      <c r="D24" s="55">
        <v>5806</v>
      </c>
      <c r="E24" s="57">
        <f>(SUM(H25:H$25)-G$27*SUM(G25:G$25))*(1+C$18)^B24</f>
        <v>0</v>
      </c>
      <c r="F24" s="57">
        <f>(F23+G$27*C24)*(1+C$18)-D24</f>
        <v>7.2759576141834259E-12</v>
      </c>
      <c r="G24" s="57">
        <f>C24*(1+C$18)^(-B24+1)</f>
        <v>5102.4170344132162</v>
      </c>
      <c r="H24" s="57">
        <f>D24*(1+C$18)^-B24</f>
        <v>4442.3700584005519</v>
      </c>
      <c r="I24" s="57">
        <f>C24-D24/(1+C$2)-E24+E23+C$2/(1+C$2)*E24</f>
        <v>2405.9512622055704</v>
      </c>
      <c r="J24" s="42">
        <f>I24/C24</f>
        <v>0.38062826486403584</v>
      </c>
      <c r="K24" s="42">
        <f>1-G$27</f>
        <v>0.38062826486403589</v>
      </c>
    </row>
    <row r="25" spans="1:15" ht="15" x14ac:dyDescent="0.25">
      <c r="C25" s="55"/>
      <c r="D25" s="55"/>
      <c r="E25" s="57"/>
      <c r="F25" s="57"/>
      <c r="G25" s="57"/>
      <c r="H25" s="57"/>
      <c r="I25" s="57"/>
    </row>
    <row r="26" spans="1:15" ht="15" x14ac:dyDescent="0.25">
      <c r="C26" s="55"/>
      <c r="D26" s="55"/>
      <c r="E26" s="57" t="s">
        <v>96</v>
      </c>
      <c r="F26" s="57"/>
      <c r="G26" s="57">
        <f>SUM(G20:G24)</f>
        <v>35666.995995020865</v>
      </c>
      <c r="H26" s="57">
        <f>SUM(H20:H24)</f>
        <v>22091.129196523554</v>
      </c>
      <c r="I26" s="57"/>
    </row>
    <row r="27" spans="1:15" x14ac:dyDescent="0.2">
      <c r="C27" s="55"/>
      <c r="D27" s="55"/>
      <c r="E27" s="41" t="s">
        <v>95</v>
      </c>
      <c r="G27" s="42">
        <f>H26/G26</f>
        <v>0.61937173513596411</v>
      </c>
    </row>
    <row r="28" spans="1:15" x14ac:dyDescent="0.2">
      <c r="C28" s="55"/>
      <c r="D28" s="55"/>
      <c r="E28" s="45" t="s">
        <v>94</v>
      </c>
      <c r="G28" s="56">
        <f>F22</f>
        <v>2564.2109314735808</v>
      </c>
    </row>
    <row r="29" spans="1:15" x14ac:dyDescent="0.2">
      <c r="C29" s="55"/>
      <c r="D29" s="55"/>
    </row>
    <row r="33" spans="1:11" x14ac:dyDescent="0.2">
      <c r="C33" s="41" t="s">
        <v>72</v>
      </c>
      <c r="G33" s="43">
        <f>F5</f>
        <v>3304.8167842955054</v>
      </c>
      <c r="H33" s="43"/>
    </row>
    <row r="34" spans="1:11" x14ac:dyDescent="0.2">
      <c r="C34" s="41" t="s">
        <v>91</v>
      </c>
      <c r="G34" s="43">
        <f>F21</f>
        <v>3693.9948526482531</v>
      </c>
      <c r="H34" s="43"/>
    </row>
    <row r="35" spans="1:11" x14ac:dyDescent="0.2">
      <c r="A35" s="45"/>
      <c r="B35" s="45" t="s">
        <v>93</v>
      </c>
      <c r="C35" s="45" t="s">
        <v>92</v>
      </c>
      <c r="D35" s="45"/>
      <c r="E35" s="45"/>
      <c r="F35" s="45"/>
      <c r="G35" s="54"/>
      <c r="H35" s="53">
        <f>G34-G33</f>
        <v>389.17806835274769</v>
      </c>
      <c r="I35" s="45"/>
    </row>
    <row r="36" spans="1:11" x14ac:dyDescent="0.2">
      <c r="A36" s="51"/>
      <c r="B36" s="51"/>
      <c r="C36" s="51" t="s">
        <v>91</v>
      </c>
      <c r="D36" s="51"/>
      <c r="E36" s="51"/>
      <c r="F36" s="51"/>
      <c r="G36" s="52">
        <f>G34</f>
        <v>3693.9948526482531</v>
      </c>
      <c r="H36" s="52"/>
      <c r="I36" s="51"/>
    </row>
    <row r="37" spans="1:11" x14ac:dyDescent="0.2">
      <c r="C37" s="41" t="s">
        <v>90</v>
      </c>
      <c r="G37" s="43">
        <f>F22</f>
        <v>2564.2109314735808</v>
      </c>
      <c r="H37" s="43"/>
    </row>
    <row r="38" spans="1:11" s="45" customFormat="1" x14ac:dyDescent="0.2">
      <c r="A38" s="48"/>
      <c r="B38" s="48" t="s">
        <v>89</v>
      </c>
      <c r="C38" s="48" t="s">
        <v>88</v>
      </c>
      <c r="D38" s="48"/>
      <c r="E38" s="48"/>
      <c r="F38" s="48"/>
      <c r="G38" s="47"/>
      <c r="H38" s="50">
        <f>G37-G36</f>
        <v>-1129.7839211746723</v>
      </c>
      <c r="I38" s="48"/>
    </row>
    <row r="39" spans="1:11" x14ac:dyDescent="0.2">
      <c r="C39" s="41" t="s">
        <v>87</v>
      </c>
      <c r="G39" s="43"/>
      <c r="H39" s="43">
        <f>D22</f>
        <v>6218.0499999999993</v>
      </c>
    </row>
    <row r="40" spans="1:11" s="45" customFormat="1" x14ac:dyDescent="0.2">
      <c r="A40" s="48"/>
      <c r="B40" s="48" t="s">
        <v>86</v>
      </c>
      <c r="C40" s="48" t="s">
        <v>85</v>
      </c>
      <c r="D40" s="48"/>
      <c r="E40" s="48"/>
      <c r="F40" s="48"/>
      <c r="G40" s="47"/>
      <c r="H40" s="50">
        <f>H35+H38+H39</f>
        <v>5477.4441471780747</v>
      </c>
      <c r="I40" s="48"/>
      <c r="K40" s="49"/>
    </row>
    <row r="42" spans="1:11" x14ac:dyDescent="0.2">
      <c r="C42" s="41" t="s">
        <v>84</v>
      </c>
    </row>
    <row r="43" spans="1:11" x14ac:dyDescent="0.2">
      <c r="C43" s="41" t="s">
        <v>77</v>
      </c>
      <c r="G43" s="43">
        <f>D6</f>
        <v>5407</v>
      </c>
      <c r="H43" s="43"/>
    </row>
    <row r="44" spans="1:11" x14ac:dyDescent="0.2">
      <c r="C44" s="41" t="s">
        <v>73</v>
      </c>
      <c r="G44" s="43">
        <f>D22</f>
        <v>6218.0499999999993</v>
      </c>
      <c r="H44" s="43"/>
    </row>
    <row r="45" spans="1:11" x14ac:dyDescent="0.2">
      <c r="C45" s="41" t="s">
        <v>83</v>
      </c>
      <c r="G45" s="43"/>
      <c r="H45" s="43"/>
      <c r="I45" s="41">
        <f>G43-G44</f>
        <v>-811.04999999999927</v>
      </c>
    </row>
    <row r="46" spans="1:11" x14ac:dyDescent="0.2">
      <c r="C46" s="41" t="s">
        <v>72</v>
      </c>
      <c r="G46" s="43">
        <f>F5</f>
        <v>3304.8167842955054</v>
      </c>
      <c r="H46" s="43"/>
    </row>
    <row r="47" spans="1:11" x14ac:dyDescent="0.2">
      <c r="C47" s="41" t="s">
        <v>75</v>
      </c>
      <c r="G47" s="43">
        <f>F6</f>
        <v>2811.9406427770882</v>
      </c>
      <c r="H47" s="43"/>
    </row>
    <row r="48" spans="1:11" x14ac:dyDescent="0.2">
      <c r="C48" s="41" t="s">
        <v>82</v>
      </c>
      <c r="G48" s="43"/>
      <c r="H48" s="43">
        <f>G46-G47</f>
        <v>492.87614151841717</v>
      </c>
    </row>
    <row r="49" spans="1:9" x14ac:dyDescent="0.2">
      <c r="C49" s="41" t="s">
        <v>72</v>
      </c>
      <c r="G49" s="43">
        <f>G46</f>
        <v>3304.8167842955054</v>
      </c>
      <c r="H49" s="43"/>
    </row>
    <row r="50" spans="1:9" x14ac:dyDescent="0.2">
      <c r="C50" s="41" t="s">
        <v>71</v>
      </c>
      <c r="G50" s="43">
        <f>F22</f>
        <v>2564.2109314735808</v>
      </c>
      <c r="H50" s="43"/>
    </row>
    <row r="51" spans="1:9" x14ac:dyDescent="0.2">
      <c r="C51" s="41" t="s">
        <v>81</v>
      </c>
      <c r="G51" s="43"/>
      <c r="H51" s="43">
        <f>G49-G50</f>
        <v>740.6058528219246</v>
      </c>
    </row>
    <row r="52" spans="1:9" x14ac:dyDescent="0.2">
      <c r="C52" s="41" t="s">
        <v>80</v>
      </c>
      <c r="G52" s="43"/>
      <c r="H52" s="43"/>
      <c r="I52" s="42">
        <f>H51-H48</f>
        <v>247.72971130350743</v>
      </c>
    </row>
    <row r="53" spans="1:9" s="45" customFormat="1" x14ac:dyDescent="0.2">
      <c r="A53" s="48"/>
      <c r="B53" s="48" t="s">
        <v>79</v>
      </c>
      <c r="C53" s="48" t="s">
        <v>69</v>
      </c>
      <c r="D53" s="48"/>
      <c r="E53" s="48"/>
      <c r="F53" s="48"/>
      <c r="G53" s="47"/>
      <c r="H53" s="47"/>
      <c r="I53" s="46">
        <f>I45+I52</f>
        <v>-563.32028869649184</v>
      </c>
    </row>
    <row r="54" spans="1:9" x14ac:dyDescent="0.2">
      <c r="G54" s="43"/>
      <c r="H54" s="43"/>
    </row>
    <row r="55" spans="1:9" x14ac:dyDescent="0.2">
      <c r="C55" s="41" t="s">
        <v>78</v>
      </c>
      <c r="G55" s="43"/>
      <c r="H55" s="43"/>
    </row>
    <row r="56" spans="1:9" x14ac:dyDescent="0.2">
      <c r="C56" s="41" t="s">
        <v>77</v>
      </c>
      <c r="G56" s="43">
        <f>D6</f>
        <v>5407</v>
      </c>
      <c r="H56" s="43"/>
    </row>
    <row r="57" spans="1:9" x14ac:dyDescent="0.2">
      <c r="C57" s="41" t="s">
        <v>76</v>
      </c>
      <c r="G57" s="43">
        <f>F5</f>
        <v>3304.8167842955054</v>
      </c>
      <c r="H57" s="43"/>
    </row>
    <row r="58" spans="1:9" x14ac:dyDescent="0.2">
      <c r="C58" s="41" t="s">
        <v>75</v>
      </c>
      <c r="G58" s="43">
        <f>F6</f>
        <v>2811.9406427770882</v>
      </c>
      <c r="H58" s="43"/>
    </row>
    <row r="59" spans="1:9" x14ac:dyDescent="0.2">
      <c r="C59" s="44" t="s">
        <v>74</v>
      </c>
      <c r="G59" s="43"/>
      <c r="H59" s="43">
        <f>G56+G58-G57</f>
        <v>4914.1238584815828</v>
      </c>
    </row>
    <row r="60" spans="1:9" x14ac:dyDescent="0.2">
      <c r="G60" s="43"/>
      <c r="H60" s="43"/>
    </row>
    <row r="61" spans="1:9" x14ac:dyDescent="0.2">
      <c r="C61" s="41" t="s">
        <v>73</v>
      </c>
      <c r="G61" s="43">
        <f>D22</f>
        <v>6218.0499999999993</v>
      </c>
      <c r="H61" s="43"/>
    </row>
    <row r="62" spans="1:9" x14ac:dyDescent="0.2">
      <c r="C62" s="41" t="s">
        <v>72</v>
      </c>
      <c r="G62" s="43">
        <f>G57</f>
        <v>3304.8167842955054</v>
      </c>
      <c r="H62" s="43"/>
    </row>
    <row r="63" spans="1:9" x14ac:dyDescent="0.2">
      <c r="C63" s="41" t="s">
        <v>71</v>
      </c>
      <c r="G63" s="43">
        <f>F22</f>
        <v>2564.2109314735808</v>
      </c>
      <c r="H63" s="43"/>
    </row>
    <row r="64" spans="1:9" x14ac:dyDescent="0.2">
      <c r="C64" s="44" t="s">
        <v>70</v>
      </c>
      <c r="G64" s="43"/>
      <c r="H64" s="43">
        <f>G61+G63-G62</f>
        <v>5477.4441471780747</v>
      </c>
    </row>
    <row r="65" spans="3:9" x14ac:dyDescent="0.2">
      <c r="G65" s="43"/>
      <c r="H65" s="43"/>
    </row>
    <row r="66" spans="3:9" x14ac:dyDescent="0.2">
      <c r="C66" s="41" t="s">
        <v>69</v>
      </c>
      <c r="G66" s="43"/>
      <c r="H66" s="43"/>
      <c r="I66" s="42">
        <f>H59-H64</f>
        <v>-563.32028869649184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5a</vt:lpstr>
      <vt:lpstr>LFMU-Q6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 Zionce</cp:lastModifiedBy>
  <dcterms:created xsi:type="dcterms:W3CDTF">2022-06-12T14:42:19Z</dcterms:created>
  <dcterms:modified xsi:type="dcterms:W3CDTF">2022-07-28T15:55:17Z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9aa860-6a65-4942-a19a-0478291725e1_Enabled">
    <vt:lpwstr>true</vt:lpwstr>
  </property>
  <property fmtid="{D5CDD505-2E9C-101B-9397-08002B2CF9AE}" pid="3" name="MSIP_Label_3c9aa860-6a65-4942-a19a-0478291725e1_SetDate">
    <vt:lpwstr>2022-07-22T02:28:56Z</vt:lpwstr>
  </property>
  <property fmtid="{D5CDD505-2E9C-101B-9397-08002B2CF9AE}" pid="4" name="MSIP_Label_3c9aa860-6a65-4942-a19a-0478291725e1_Method">
    <vt:lpwstr>Privileged</vt:lpwstr>
  </property>
  <property fmtid="{D5CDD505-2E9C-101B-9397-08002B2CF9AE}" pid="5" name="MSIP_Label_3c9aa860-6a65-4942-a19a-0478291725e1_Name">
    <vt:lpwstr>CONFIDENTIAL</vt:lpwstr>
  </property>
  <property fmtid="{D5CDD505-2E9C-101B-9397-08002B2CF9AE}" pid="6" name="MSIP_Label_3c9aa860-6a65-4942-a19a-0478291725e1_SiteId">
    <vt:lpwstr>5d3e2773-e07f-4432-a630-1a0f68a28a05</vt:lpwstr>
  </property>
  <property fmtid="{D5CDD505-2E9C-101B-9397-08002B2CF9AE}" pid="7" name="MSIP_Label_3c9aa860-6a65-4942-a19a-0478291725e1_ActionId">
    <vt:lpwstr>f25bedd3-1549-4a85-a063-f5412ee0f285</vt:lpwstr>
  </property>
  <property fmtid="{D5CDD505-2E9C-101B-9397-08002B2CF9AE}" pid="8" name="MSIP_Label_3c9aa860-6a65-4942-a19a-0478291725e1_ContentBits">
    <vt:lpwstr>2</vt:lpwstr>
  </property>
</Properties>
</file>