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939" activeTab="2"/>
  </bookViews>
  <sheets>
    <sheet name="Comments" sheetId="1" r:id="rId1"/>
    <sheet name="Format Vars" sheetId="2" r:id="rId2"/>
    <sheet name="Scenario Inputs" sheetId="3" r:id="rId3"/>
    <sheet name="Company Data" sheetId="4" r:id="rId4"/>
    <sheet name="Total - Net" sheetId="5" r:id="rId5"/>
    <sheet name="Total - Reins" sheetId="6" r:id="rId6"/>
    <sheet name="Total - Gross" sheetId="7" r:id="rId7"/>
    <sheet name="Ind - Net" sheetId="8" r:id="rId8"/>
    <sheet name="Ind - Reins" sheetId="9" r:id="rId9"/>
    <sheet name="Ind - Gross" sheetId="10" r:id="rId10"/>
    <sheet name="Group - Net" sheetId="11" r:id="rId11"/>
    <sheet name="Group - Reins" sheetId="12" r:id="rId12"/>
    <sheet name="Group - Gross" sheetId="13" r:id="rId13"/>
  </sheets>
  <definedNames>
    <definedName name="curve">'Scenario Inputs'!$B$6</definedName>
    <definedName name="Exh">'Scenario Inputs'!$P$2</definedName>
    <definedName name="Flat">'Scenario Inputs'!$D$21:$D$38</definedName>
    <definedName name="InsMort">'Scenario Inputs'!$B$14</definedName>
    <definedName name="Moderate">'Scenario Inputs'!$C$9</definedName>
    <definedName name="Morbidity">'Scenario Inputs'!#REF!</definedName>
    <definedName name="_xlnm.Print_Area" localSheetId="9">'Ind - Gross'!$A$1:$M$48</definedName>
    <definedName name="_xlnm.Print_Area" localSheetId="2">'Scenario Inputs'!$A$1:$L$48</definedName>
    <definedName name="_xlnm.Print_Area" localSheetId="6">'Total - Gross'!$A$1:$M$48</definedName>
    <definedName name="ReinsCeded" localSheetId="11">'Group - Reins'!$C$29</definedName>
    <definedName name="ReinsCeded" localSheetId="5">'Total - Reins'!$C$29</definedName>
    <definedName name="ReinsCredit">'Scenario Inputs'!$B$11</definedName>
    <definedName name="Scale">'Format Vars'!$B$16</definedName>
    <definedName name="ScaleW">'Format Vars'!$B$17</definedName>
    <definedName name="Scen">'Scenario Inputs'!$B$4</definedName>
    <definedName name="scenario">'Format Vars'!$B$4</definedName>
    <definedName name="Severe">'Scenario Inputs'!$D$9</definedName>
    <definedName name="TaxOffset">'Company Data'!$B$4</definedName>
    <definedName name="UCurve">'Scenario Inputs'!$G$21:$G$38</definedName>
    <definedName name="WCurve">'Scenario Inputs'!$I$21:$I$38</definedName>
    <definedName name="XSDths">'Scenario Inputs'!$B$9</definedName>
  </definedNames>
  <calcPr fullCalcOnLoad="1"/>
</workbook>
</file>

<file path=xl/sharedStrings.xml><?xml version="1.0" encoding="utf-8"?>
<sst xmlns="http://schemas.openxmlformats.org/spreadsheetml/2006/main" count="489" uniqueCount="174">
  <si>
    <t>Population</t>
  </si>
  <si>
    <t>Face</t>
  </si>
  <si>
    <t>Claims</t>
  </si>
  <si>
    <t>Total</t>
  </si>
  <si>
    <t>Excess qx</t>
  </si>
  <si>
    <t>Age Range</t>
  </si>
  <si>
    <t>Selected</t>
  </si>
  <si>
    <t>deaths per K</t>
  </si>
  <si>
    <t>Excess</t>
  </si>
  <si>
    <t>Individual</t>
  </si>
  <si>
    <t>Severe</t>
  </si>
  <si>
    <t>Moderate</t>
  </si>
  <si>
    <t>Insured</t>
  </si>
  <si>
    <t>Average</t>
  </si>
  <si>
    <t>Face Amount</t>
  </si>
  <si>
    <t xml:space="preserve"> (4) x (10)</t>
  </si>
  <si>
    <t>Reserve per</t>
  </si>
  <si>
    <t>Reserve</t>
  </si>
  <si>
    <t>Release</t>
  </si>
  <si>
    <t>Reinsurance</t>
  </si>
  <si>
    <t>Gross</t>
  </si>
  <si>
    <t>Certificate</t>
  </si>
  <si>
    <t>Holders</t>
  </si>
  <si>
    <t>In Force</t>
  </si>
  <si>
    <t>General</t>
  </si>
  <si>
    <t>Distribution</t>
  </si>
  <si>
    <t xml:space="preserve"> (3) x (8) / 1000</t>
  </si>
  <si>
    <t>Percent</t>
  </si>
  <si>
    <t>85+</t>
  </si>
  <si>
    <t>Column Notes:</t>
  </si>
  <si>
    <t>Average Face Amount</t>
  </si>
  <si>
    <t>Credit</t>
  </si>
  <si>
    <t>Credit Pecent</t>
  </si>
  <si>
    <t>Net Claims</t>
  </si>
  <si>
    <t>Before Taxes</t>
  </si>
  <si>
    <t>After Taxes</t>
  </si>
  <si>
    <t xml:space="preserve"> (4) x (5)</t>
  </si>
  <si>
    <t>Excess deaths per 1000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</si>
  <si>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</si>
  <si>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</si>
  <si>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</si>
  <si>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</si>
  <si>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</si>
  <si>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</si>
  <si>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</si>
  <si>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</si>
  <si>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</si>
  <si>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</si>
  <si>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</si>
  <si>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</si>
  <si>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</si>
  <si>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</si>
  <si>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</si>
  <si>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</si>
  <si>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</si>
  <si>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Flat Extra</t>
  </si>
  <si>
    <t>XS Deaths</t>
  </si>
  <si>
    <t>per 1000</t>
  </si>
  <si>
    <t>Owning</t>
  </si>
  <si>
    <t>Percentage</t>
  </si>
  <si>
    <t xml:space="preserve">Population XS       </t>
  </si>
  <si>
    <t>Moderate Scenario</t>
  </si>
  <si>
    <t>Percent less than 20</t>
  </si>
  <si>
    <t>Percent 20 - 64</t>
  </si>
  <si>
    <t>Percent 65+</t>
  </si>
  <si>
    <t>"U" Curve (Seasonal)</t>
  </si>
  <si>
    <t>1918 "V\ " Curve</t>
  </si>
  <si>
    <t>Hypothetical "W" Curve</t>
  </si>
  <si>
    <t>US Census</t>
  </si>
  <si>
    <t>Policy</t>
  </si>
  <si>
    <t>Insured Pop</t>
  </si>
  <si>
    <t>Insured vs</t>
  </si>
  <si>
    <t xml:space="preserve">Mortality Ratio of     </t>
  </si>
  <si>
    <t>Mort Ratio</t>
  </si>
  <si>
    <t>Gen Pop</t>
  </si>
  <si>
    <t xml:space="preserve"> (6) x (7)</t>
  </si>
  <si>
    <t xml:space="preserve"> (1) x (6) / 1000</t>
  </si>
  <si>
    <t>Severe Scenario</t>
  </si>
  <si>
    <t xml:space="preserve">Corporate Tax Rate (1) </t>
  </si>
  <si>
    <t xml:space="preserve"> Exhibit 3, Page 1</t>
  </si>
  <si>
    <t xml:space="preserve"> Exhibit 3, Page 2</t>
  </si>
  <si>
    <t xml:space="preserve"> Exhibit 3, Page 3</t>
  </si>
  <si>
    <t xml:space="preserve"> Exhibit 4, Page 1</t>
  </si>
  <si>
    <t xml:space="preserve"> Exhibit 4, Page 2</t>
  </si>
  <si>
    <t xml:space="preserve"> Exhibit 4, Page 3</t>
  </si>
  <si>
    <t xml:space="preserve"> Exhibit 7, Page 1</t>
  </si>
  <si>
    <t xml:space="preserve"> Exhibit 7, Page 2</t>
  </si>
  <si>
    <t xml:space="preserve"> Exhibit 7, Page 3</t>
  </si>
  <si>
    <t xml:space="preserve"> Exhibit 2, Page 1</t>
  </si>
  <si>
    <t xml:space="preserve"> Exhibit 2, Page 2</t>
  </si>
  <si>
    <t xml:space="preserve"> Exhibit 2, Page 3</t>
  </si>
  <si>
    <t xml:space="preserve"> (2) x (3) / 1000</t>
  </si>
  <si>
    <t xml:space="preserve"> (1) - (2)</t>
  </si>
  <si>
    <t xml:space="preserve"> (3) x (4) / 1000</t>
  </si>
  <si>
    <t xml:space="preserve"> (1) - (2) - (5)</t>
  </si>
  <si>
    <t xml:space="preserve"> (6) x [ 1 - (7) ]</t>
  </si>
  <si>
    <t>Policyholders</t>
  </si>
  <si>
    <t>Total IL &amp; GL</t>
  </si>
  <si>
    <t>Policyholder</t>
  </si>
  <si>
    <t xml:space="preserve"> Exhibit 6, Page 1</t>
  </si>
  <si>
    <t xml:space="preserve"> Exhibit 6, Page 2</t>
  </si>
  <si>
    <t xml:space="preserve"> Exhibit 6, Page 3</t>
  </si>
  <si>
    <t xml:space="preserve"> 2000 US Census projected to 2004</t>
  </si>
  <si>
    <t xml:space="preserve">Excess Curve  (2) </t>
  </si>
  <si>
    <t xml:space="preserve">Deaths per 1000  (3) </t>
  </si>
  <si>
    <t xml:space="preserve"> Flat extra mortality %</t>
  </si>
  <si>
    <t>Tax Rate</t>
  </si>
  <si>
    <t xml:space="preserve"> (1) - (2) - (3)</t>
  </si>
  <si>
    <t xml:space="preserve"> (4) x [ 1 - (5) ]</t>
  </si>
  <si>
    <t>Distribution of Excess Deaths by Age</t>
  </si>
  <si>
    <t xml:space="preserve"> (5) / (3)</t>
  </si>
  <si>
    <t>% of Gross Claims</t>
  </si>
  <si>
    <t xml:space="preserve"> Exhibit 1, Page 3, Column 5</t>
  </si>
  <si>
    <t xml:space="preserve"> Exhibit 1, Page 3, Entry 1</t>
  </si>
  <si>
    <t xml:space="preserve"> Exhibit 1, Page 3, Column 7</t>
  </si>
  <si>
    <t xml:space="preserve"> Exhibit 1, Page 3, Column 9</t>
  </si>
  <si>
    <t xml:space="preserve"> Exhibit 1, Page 3, Column 8</t>
  </si>
  <si>
    <t xml:space="preserve"> Exhibit 1, Page 3, Column 11</t>
  </si>
  <si>
    <t xml:space="preserve"> Exhibit 1, Page 3, Column 10</t>
  </si>
  <si>
    <t xml:space="preserve"> Exhibit 1, Page 3, Column 6</t>
  </si>
  <si>
    <t>ate</t>
  </si>
  <si>
    <t xml:space="preserve"> Effective tax rate</t>
  </si>
  <si>
    <t>N/A</t>
  </si>
  <si>
    <t>Ceded</t>
  </si>
  <si>
    <t xml:space="preserve"> Based on company data</t>
  </si>
  <si>
    <t xml:space="preserve"> Exhibit 5, Page 1</t>
  </si>
  <si>
    <t xml:space="preserve"> Exhibit 5, Page 2</t>
  </si>
  <si>
    <t xml:space="preserve"> Exhibit 5, Page 3</t>
  </si>
  <si>
    <t>Insurance Company Data</t>
  </si>
  <si>
    <t>INDIVIDUAL DATA</t>
  </si>
  <si>
    <t>GROUP DATA</t>
  </si>
  <si>
    <t xml:space="preserve">Scenario (1) </t>
  </si>
  <si>
    <t>Scale</t>
  </si>
  <si>
    <t>(millions)</t>
  </si>
  <si>
    <t xml:space="preserve">Individual Totals (2) </t>
  </si>
  <si>
    <t xml:space="preserve">Group Totals (3) </t>
  </si>
  <si>
    <t>Net</t>
  </si>
  <si>
    <t>Descriptive</t>
  </si>
  <si>
    <t>Numeric divisor</t>
  </si>
  <si>
    <t>Scenario</t>
  </si>
  <si>
    <t>Driven Labeling</t>
  </si>
  <si>
    <t>Exhibit Labels by Scenario</t>
  </si>
  <si>
    <t xml:space="preserve"> Selected scenario</t>
  </si>
  <si>
    <t xml:space="preserve"> Selected excess death curve</t>
  </si>
  <si>
    <t xml:space="preserve"> Hypothetical distribution based on data from 1957 and 1968</t>
  </si>
  <si>
    <t xml:space="preserve"> (8) x (3)</t>
  </si>
  <si>
    <t xml:space="preserve"> Hypothetical distribution based on data from 1918</t>
  </si>
  <si>
    <t xml:space="preserve"> (10) x (3)</t>
  </si>
  <si>
    <t xml:space="preserve"> Hypothetical distribution extrapolating historic data </t>
  </si>
  <si>
    <t xml:space="preserve"> (12) x (3)</t>
  </si>
  <si>
    <t xml:space="preserve">   Choose "Flat", "U", 1918 "V\ ", or "W" shaped distribution of excess deaths</t>
  </si>
  <si>
    <t xml:space="preserve">   Choose  "M"  (Moderate)  or  "S"  (Severe)</t>
  </si>
  <si>
    <t>Certholders</t>
  </si>
  <si>
    <t xml:space="preserve"> Based on company data; individuals may own multiple policies</t>
  </si>
  <si>
    <t xml:space="preserve"> Based on company data (average per policyholder)</t>
  </si>
  <si>
    <t xml:space="preserve"> Based on company data (average per certholder)</t>
  </si>
  <si>
    <t xml:space="preserve"> multiple certs</t>
  </si>
  <si>
    <t xml:space="preserve"> Based on company data; individuals may hold</t>
  </si>
  <si>
    <t>V\</t>
  </si>
  <si>
    <t>Exhibit 1, Page 3</t>
  </si>
  <si>
    <t xml:space="preserve"> N/A</t>
  </si>
  <si>
    <t xml:space="preserve"> (3) x (4)</t>
  </si>
  <si>
    <t>Ceded by Age</t>
  </si>
  <si>
    <t xml:space="preserve">Reins Credit % (4) </t>
  </si>
  <si>
    <t xml:space="preserve">Insured vs Gen Pop (5) </t>
  </si>
  <si>
    <t xml:space="preserve"> Assumed reinsurance credit % by scenario</t>
  </si>
  <si>
    <t xml:space="preserve"> Assumed general population excess deaths per 1000 by scenario</t>
  </si>
  <si>
    <t xml:space="preserve"> Relative impact of pandemic on insured vs general population mortality</t>
  </si>
  <si>
    <t xml:space="preserve"> Control totals for individual line of business</t>
  </si>
  <si>
    <t xml:space="preserve"> Control totals for group line of business</t>
  </si>
  <si>
    <t xml:space="preserve"> Exhibit 1, Page 3, Column 4</t>
  </si>
  <si>
    <t xml:space="preserve"> (14) x (3)</t>
  </si>
  <si>
    <t xml:space="preserve"> Selected scenario excess qx by age</t>
  </si>
  <si>
    <t>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</si>
</sst>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mmmm\ d\,\ yyyy"/>
    <numFmt numFmtId="170" formatCode="0.0"/>
    <numFmt numFmtId="171" formatCode="0.000%"/>
    <numFmt numFmtId="172" formatCode="_(* #,##0.000_);_(* \(#,##0.000\);_(* &quot;-&quot;??_);_(@_)"/>
    <numFmt numFmtId="173" formatCode="_(* #,##0.00000_);_(* \(#,##0.00000\);_(* &quot;-&quot;??_);_(@_)"/>
    <numFmt numFmtId="174" formatCode="0.000"/>
    <numFmt numFmtId="175" formatCode="0_);\(0\)"/>
    <numFmt numFmtId="176" formatCode="\(0\)"/>
    <numFmt numFmtId="177" formatCode="_(* #,##0.0_);_(* \(#,##0.0\);_(* &quot;-&quot;?_);_(@_)"/>
    <numFmt numFmtId="178" formatCode="_(&quot;$&quot;* #,##0.0_);_(&quot;$&quot;* \(#,##0.0\);_(&quot;$&quot;* &quot;-&quot;??_);_(@_)"/>
    <numFmt numFmtId="179" formatCode="_(* #,##0.0000_);_(* \(#,##0.00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22" applyFont="1" applyAlignment="1">
      <alignment/>
    </xf>
    <xf numFmtId="167" fontId="0" fillId="0" borderId="0" xfId="15" applyNumberFormat="1" applyFont="1" applyAlignment="1">
      <alignment/>
    </xf>
    <xf numFmtId="165" fontId="0" fillId="0" borderId="0" xfId="22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21" applyFont="1" applyAlignment="1">
      <alignment horizontal="center"/>
      <protection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21" applyFont="1" applyBorder="1" applyAlignment="1">
      <alignment horizontal="right"/>
      <protection/>
    </xf>
    <xf numFmtId="0" fontId="0" fillId="0" borderId="0" xfId="0" applyBorder="1" applyAlignment="1">
      <alignment horizontal="centerContinuous"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15" applyNumberFormat="1" applyFont="1" applyBorder="1" applyAlignment="1" quotePrefix="1">
      <alignment horizontal="right"/>
    </xf>
    <xf numFmtId="173" fontId="6" fillId="0" borderId="0" xfId="15" applyNumberFormat="1" applyFont="1" applyBorder="1" applyAlignment="1" quotePrefix="1">
      <alignment horizontal="right"/>
    </xf>
    <xf numFmtId="166" fontId="0" fillId="0" borderId="0" xfId="15" applyNumberFormat="1" applyFont="1" applyBorder="1" applyAlignment="1" quotePrefix="1">
      <alignment horizontal="right"/>
    </xf>
    <xf numFmtId="9" fontId="2" fillId="0" borderId="0" xfId="22" applyFont="1" applyBorder="1" applyAlignment="1" quotePrefix="1">
      <alignment horizontal="right"/>
    </xf>
    <xf numFmtId="166" fontId="0" fillId="0" borderId="0" xfId="15" applyNumberFormat="1" applyBorder="1" applyAlignment="1">
      <alignment/>
    </xf>
    <xf numFmtId="16" fontId="2" fillId="0" borderId="0" xfId="0" applyNumberFormat="1" applyFont="1" applyBorder="1" applyAlignment="1" quotePrefix="1">
      <alignment horizontal="right"/>
    </xf>
    <xf numFmtId="166" fontId="2" fillId="0" borderId="0" xfId="15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174" fontId="0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174" fontId="0" fillId="0" borderId="0" xfId="0" applyNumberFormat="1" applyAlignment="1">
      <alignment/>
    </xf>
    <xf numFmtId="166" fontId="2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43" fontId="2" fillId="0" borderId="0" xfId="15" applyFont="1" applyAlignment="1">
      <alignment horizontal="center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0" fontId="2" fillId="0" borderId="0" xfId="22" applyNumberFormat="1" applyFont="1" applyAlignment="1">
      <alignment/>
    </xf>
    <xf numFmtId="164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2" fillId="0" borderId="2" xfId="15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5" fontId="0" fillId="0" borderId="0" xfId="22" applyNumberFormat="1" applyFont="1" applyFill="1" applyBorder="1" applyAlignment="1">
      <alignment/>
    </xf>
    <xf numFmtId="175" fontId="0" fillId="0" borderId="0" xfId="0" applyNumberFormat="1" applyFont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2" xfId="15" applyFont="1" applyBorder="1" applyAlignment="1">
      <alignment/>
    </xf>
    <xf numFmtId="0" fontId="1" fillId="0" borderId="0" xfId="0" applyFont="1" applyFill="1" applyAlignment="1">
      <alignment horizontal="right"/>
    </xf>
    <xf numFmtId="174" fontId="0" fillId="0" borderId="0" xfId="0" applyNumberFormat="1" applyFont="1" applyAlignment="1">
      <alignment horizontal="centerContinuous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3" fontId="0" fillId="0" borderId="2" xfId="15" applyNumberFormat="1" applyFont="1" applyBorder="1" applyAlignment="1">
      <alignment/>
    </xf>
    <xf numFmtId="43" fontId="2" fillId="0" borderId="0" xfId="0" applyNumberFormat="1" applyFont="1" applyAlignment="1">
      <alignment/>
    </xf>
    <xf numFmtId="9" fontId="2" fillId="0" borderId="0" xfId="22" applyNumberFormat="1" applyFont="1" applyFill="1" applyAlignment="1">
      <alignment/>
    </xf>
    <xf numFmtId="9" fontId="2" fillId="0" borderId="0" xfId="2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0" applyNumberFormat="1" applyFont="1" applyAlignment="1">
      <alignment horizontal="center"/>
    </xf>
    <xf numFmtId="165" fontId="0" fillId="0" borderId="2" xfId="22" applyNumberFormat="1" applyFont="1" applyBorder="1" applyAlignment="1">
      <alignment/>
    </xf>
    <xf numFmtId="0" fontId="7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9" fontId="0" fillId="0" borderId="2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43" fontId="2" fillId="0" borderId="0" xfId="15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21" applyFont="1" applyFill="1" applyBorder="1" applyAlignment="1">
      <alignment horizontal="right"/>
      <protection/>
    </xf>
    <xf numFmtId="43" fontId="0" fillId="0" borderId="0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0" fontId="7" fillId="0" borderId="0" xfId="0" applyFont="1" applyAlignment="1">
      <alignment horizontal="left"/>
    </xf>
    <xf numFmtId="9" fontId="13" fillId="0" borderId="0" xfId="22" applyFont="1" applyFill="1" applyAlignment="1">
      <alignment horizontal="centerContinuous"/>
    </xf>
    <xf numFmtId="165" fontId="0" fillId="0" borderId="0" xfId="2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7" fontId="2" fillId="0" borderId="0" xfId="15" applyNumberFormat="1" applyFont="1" applyAlignment="1">
      <alignment horizontal="left"/>
    </xf>
    <xf numFmtId="0" fontId="13" fillId="0" borderId="0" xfId="0" applyFont="1" applyAlignment="1">
      <alignment horizontal="centerContinuous"/>
    </xf>
    <xf numFmtId="167" fontId="2" fillId="0" borderId="0" xfId="15" applyNumberFormat="1" applyFont="1" applyBorder="1" applyAlignment="1">
      <alignment/>
    </xf>
    <xf numFmtId="165" fontId="2" fillId="0" borderId="0" xfId="22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4" xfId="15" applyFont="1" applyBorder="1" applyAlignment="1">
      <alignment/>
    </xf>
    <xf numFmtId="165" fontId="12" fillId="0" borderId="0" xfId="22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21" applyFont="1" applyBorder="1" applyAlignment="1">
      <alignment horizontal="right"/>
      <protection/>
    </xf>
    <xf numFmtId="175" fontId="0" fillId="0" borderId="1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center"/>
    </xf>
    <xf numFmtId="43" fontId="0" fillId="0" borderId="3" xfId="15" applyNumberFormat="1" applyFont="1" applyBorder="1" applyAlignment="1" quotePrefix="1">
      <alignment horizontal="right"/>
    </xf>
    <xf numFmtId="43" fontId="0" fillId="0" borderId="8" xfId="15" applyNumberFormat="1" applyFont="1" applyBorder="1" applyAlignment="1" quotePrefix="1">
      <alignment horizontal="right"/>
    </xf>
    <xf numFmtId="0" fontId="0" fillId="0" borderId="3" xfId="0" applyBorder="1" applyAlignment="1">
      <alignment horizontal="center"/>
    </xf>
    <xf numFmtId="9" fontId="2" fillId="0" borderId="1" xfId="22" applyNumberFormat="1" applyFont="1" applyFill="1" applyBorder="1" applyAlignment="1">
      <alignment/>
    </xf>
    <xf numFmtId="43" fontId="0" fillId="0" borderId="3" xfId="15" applyNumberFormat="1" applyBorder="1" applyAlignment="1">
      <alignment/>
    </xf>
    <xf numFmtId="9" fontId="2" fillId="0" borderId="4" xfId="22" applyNumberFormat="1" applyFont="1" applyFill="1" applyBorder="1" applyAlignment="1">
      <alignment/>
    </xf>
    <xf numFmtId="43" fontId="0" fillId="0" borderId="8" xfId="15" applyNumberFormat="1" applyBorder="1" applyAlignment="1">
      <alignment/>
    </xf>
    <xf numFmtId="175" fontId="0" fillId="0" borderId="0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65" fontId="2" fillId="0" borderId="0" xfId="22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5" xfId="21" applyFont="1" applyBorder="1" applyAlignment="1">
      <alignment horizont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9" xfId="21" applyFont="1" applyBorder="1" applyAlignment="1">
      <alignment horizontal="center"/>
      <protection/>
    </xf>
    <xf numFmtId="43" fontId="0" fillId="0" borderId="5" xfId="15" applyNumberFormat="1" applyFont="1" applyBorder="1" applyAlignment="1" quotePrefix="1">
      <alignment horizontal="right"/>
    </xf>
    <xf numFmtId="43" fontId="0" fillId="0" borderId="10" xfId="15" applyNumberFormat="1" applyFont="1" applyBorder="1" applyAlignment="1" quotePrefix="1">
      <alignment horizontal="right"/>
    </xf>
    <xf numFmtId="0" fontId="0" fillId="0" borderId="11" xfId="0" applyBorder="1" applyAlignment="1">
      <alignment horizontal="centerContinuous"/>
    </xf>
    <xf numFmtId="43" fontId="1" fillId="0" borderId="0" xfId="0" applyNumberFormat="1" applyFont="1" applyAlignment="1">
      <alignment/>
    </xf>
    <xf numFmtId="43" fontId="1" fillId="0" borderId="0" xfId="22" applyNumberFormat="1" applyFont="1" applyAlignment="1">
      <alignment/>
    </xf>
    <xf numFmtId="167" fontId="2" fillId="0" borderId="0" xfId="0" applyNumberFormat="1" applyFont="1" applyAlignment="1">
      <alignment/>
    </xf>
    <xf numFmtId="173" fontId="2" fillId="0" borderId="0" xfId="15" applyNumberFormat="1" applyFont="1" applyAlignment="1">
      <alignment horizontal="right"/>
    </xf>
    <xf numFmtId="43" fontId="1" fillId="0" borderId="12" xfId="15" applyNumberFormat="1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4" xfId="15" applyNumberFormat="1" applyFont="1" applyBorder="1" applyAlignment="1">
      <alignment horizontal="center"/>
    </xf>
    <xf numFmtId="165" fontId="1" fillId="0" borderId="0" xfId="22" applyNumberFormat="1" applyFont="1" applyAlignment="1">
      <alignment/>
    </xf>
    <xf numFmtId="165" fontId="1" fillId="2" borderId="0" xfId="22" applyNumberFormat="1" applyFont="1" applyFill="1" applyBorder="1" applyAlignment="1">
      <alignment/>
    </xf>
    <xf numFmtId="165" fontId="1" fillId="0" borderId="0" xfId="22" applyNumberFormat="1" applyFont="1" applyBorder="1" applyAlignment="1">
      <alignment/>
    </xf>
    <xf numFmtId="167" fontId="1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43" fontId="0" fillId="0" borderId="0" xfId="15" applyFont="1" applyAlignment="1">
      <alignment horizontal="right"/>
    </xf>
    <xf numFmtId="43" fontId="0" fillId="0" borderId="0" xfId="15" applyFont="1" applyAlignment="1" quotePrefix="1">
      <alignment horizontal="right"/>
    </xf>
    <xf numFmtId="43" fontId="0" fillId="0" borderId="0" xfId="15" applyFont="1" applyBorder="1" applyAlignment="1">
      <alignment horizontal="right"/>
    </xf>
    <xf numFmtId="43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172" fontId="0" fillId="0" borderId="0" xfId="15" applyNumberFormat="1" applyFont="1" applyAlignment="1">
      <alignment/>
    </xf>
    <xf numFmtId="43" fontId="1" fillId="0" borderId="0" xfId="15" applyNumberFormat="1" applyFont="1" applyFill="1" applyBorder="1" applyAlignment="1">
      <alignment/>
    </xf>
    <xf numFmtId="165" fontId="1" fillId="0" borderId="0" xfId="22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0" fontId="9" fillId="0" borderId="5" xfId="22" applyNumberFormat="1" applyFont="1" applyFill="1" applyBorder="1" applyAlignment="1">
      <alignment horizontal="center"/>
    </xf>
    <xf numFmtId="43" fontId="2" fillId="0" borderId="5" xfId="15" applyNumberFormat="1" applyFont="1" applyFill="1" applyBorder="1" applyAlignment="1">
      <alignment horizontal="center"/>
    </xf>
    <xf numFmtId="165" fontId="2" fillId="0" borderId="5" xfId="22" applyNumberFormat="1" applyFont="1" applyFill="1" applyBorder="1" applyAlignment="1">
      <alignment horizontal="center"/>
    </xf>
    <xf numFmtId="165" fontId="1" fillId="0" borderId="0" xfId="22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8" fillId="0" borderId="0" xfId="22" applyNumberFormat="1" applyFont="1" applyAlignment="1">
      <alignment/>
    </xf>
    <xf numFmtId="9" fontId="0" fillId="0" borderId="0" xfId="22" applyFont="1" applyAlignment="1">
      <alignment horizontal="center"/>
    </xf>
    <xf numFmtId="9" fontId="0" fillId="0" borderId="2" xfId="22" applyFont="1" applyBorder="1" applyAlignment="1">
      <alignment horizontal="center"/>
    </xf>
    <xf numFmtId="167" fontId="2" fillId="0" borderId="3" xfId="15" applyNumberFormat="1" applyFont="1" applyBorder="1" applyAlignment="1">
      <alignment/>
    </xf>
    <xf numFmtId="167" fontId="2" fillId="0" borderId="8" xfId="15" applyNumberFormat="1" applyFont="1" applyBorder="1" applyAlignment="1">
      <alignment/>
    </xf>
    <xf numFmtId="165" fontId="0" fillId="0" borderId="0" xfId="22" applyNumberFormat="1" applyFont="1" applyAlignment="1">
      <alignment horizontal="center"/>
    </xf>
    <xf numFmtId="165" fontId="0" fillId="0" borderId="2" xfId="22" applyNumberFormat="1" applyFont="1" applyBorder="1" applyAlignment="1">
      <alignment horizontal="center"/>
    </xf>
    <xf numFmtId="167" fontId="0" fillId="0" borderId="0" xfId="15" applyNumberFormat="1" applyFont="1" applyAlignment="1">
      <alignment horizontal="right"/>
    </xf>
    <xf numFmtId="9" fontId="0" fillId="0" borderId="0" xfId="22" applyNumberFormat="1" applyFont="1" applyAlignment="1">
      <alignment horizontal="center"/>
    </xf>
    <xf numFmtId="9" fontId="0" fillId="0" borderId="2" xfId="22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165" fontId="0" fillId="0" borderId="10" xfId="22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7" fontId="0" fillId="0" borderId="5" xfId="15" applyNumberFormat="1" applyFont="1" applyBorder="1" applyAlignment="1" quotePrefix="1">
      <alignment horizontal="right"/>
    </xf>
    <xf numFmtId="167" fontId="0" fillId="0" borderId="10" xfId="15" applyNumberFormat="1" applyFont="1" applyBorder="1" applyAlignment="1">
      <alignment/>
    </xf>
    <xf numFmtId="9" fontId="0" fillId="0" borderId="1" xfId="22" applyFont="1" applyBorder="1" applyAlignment="1" quotePrefix="1">
      <alignment horizontal="right"/>
    </xf>
    <xf numFmtId="9" fontId="0" fillId="0" borderId="4" xfId="22" applyFont="1" applyBorder="1" applyAlignment="1" quotePrefix="1">
      <alignment horizontal="right"/>
    </xf>
    <xf numFmtId="0" fontId="14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 horizontal="left"/>
    </xf>
    <xf numFmtId="167" fontId="0" fillId="0" borderId="0" xfId="15" applyNumberFormat="1" applyFont="1" applyAlignment="1">
      <alignment horizontal="left"/>
    </xf>
    <xf numFmtId="165" fontId="0" fillId="0" borderId="0" xfId="22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5" fontId="0" fillId="0" borderId="5" xfId="22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2" fillId="0" borderId="1" xfId="15" applyNumberFormat="1" applyFont="1" applyFill="1" applyBorder="1" applyAlignment="1">
      <alignment/>
    </xf>
    <xf numFmtId="43" fontId="2" fillId="0" borderId="3" xfId="15" applyFont="1" applyFill="1" applyBorder="1" applyAlignment="1">
      <alignment/>
    </xf>
    <xf numFmtId="165" fontId="2" fillId="0" borderId="1" xfId="22" applyNumberFormat="1" applyFont="1" applyFill="1" applyBorder="1" applyAlignment="1">
      <alignment/>
    </xf>
    <xf numFmtId="165" fontId="2" fillId="0" borderId="3" xfId="22" applyNumberFormat="1" applyFont="1" applyFill="1" applyBorder="1" applyAlignment="1">
      <alignment/>
    </xf>
    <xf numFmtId="165" fontId="2" fillId="0" borderId="4" xfId="22" applyNumberFormat="1" applyFont="1" applyFill="1" applyBorder="1" applyAlignment="1">
      <alignment/>
    </xf>
    <xf numFmtId="165" fontId="2" fillId="0" borderId="8" xfId="22" applyNumberFormat="1" applyFont="1" applyFill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9</xdr:col>
      <xdr:colOff>571500</xdr:colOff>
      <xdr:row>44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04775"/>
          <a:ext cx="5934075" cy="7105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Comments: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Items in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are inputs.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6" sqref="L6"/>
    </sheetView>
  </sheetViews>
  <sheetFormatPr defaultColWidth="9.140625" defaultRowHeight="12.75"/>
  <sheetData/>
  <printOptions/>
  <pageMargins left="0.5" right="0.5" top="0.75" bottom="0.75" header="0.5" footer="0.35"/>
  <pageSetup horizontalDpi="600" verticalDpi="600" orientation="portrait" r:id="rId2"/>
  <headerFooter alignWithMargins="0">
    <oddFooter>&amp;L&amp;8&amp;F  &amp;A&amp;C&amp;8Odell &amp;&amp; Associates, &amp;"Arial,Italic"a division of MBA, Inc.&amp;R&amp;8&amp;D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1.7109375" style="3" customWidth="1"/>
    <col min="3" max="3" width="9.8515625" style="3" customWidth="1"/>
    <col min="4" max="4" width="12.28125" style="3" bestFit="1" customWidth="1"/>
    <col min="5" max="5" width="11.7109375" style="3" customWidth="1"/>
    <col min="6" max="6" width="16.7109375" style="3" customWidth="1"/>
    <col min="7" max="11" width="11.7109375" style="3" customWidth="1"/>
    <col min="12" max="12" width="15.57421875" style="3" customWidth="1"/>
    <col min="13" max="13" width="1.7109375" style="3" customWidth="1"/>
    <col min="14" max="14" width="17.7109375" style="3" bestFit="1" customWidth="1"/>
    <col min="15" max="15" width="15.00390625" style="3" bestFit="1" customWidth="1"/>
    <col min="16" max="16384" width="9.140625" style="3" customWidth="1"/>
  </cols>
  <sheetData>
    <row r="1" ht="12.75">
      <c r="M1" s="12" t="str">
        <f>+'Format Vars'!B10</f>
        <v> Exhibit 3, Page 3</v>
      </c>
    </row>
    <row r="2" spans="1:12" ht="18">
      <c r="A2" s="70" t="str">
        <f>"Gross Individual Claims - "&amp;scenario</f>
        <v>Gross Individual Claims - Moderate Scenario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68"/>
      <c r="H3" s="39"/>
      <c r="I3" s="39"/>
      <c r="J3" s="39"/>
      <c r="K3" s="39"/>
      <c r="L3" s="39"/>
    </row>
    <row r="4" ht="12.75">
      <c r="G4" s="40"/>
    </row>
    <row r="5" spans="4:11" ht="12.75">
      <c r="D5" s="4" t="s">
        <v>9</v>
      </c>
      <c r="G5" s="4" t="s">
        <v>0</v>
      </c>
      <c r="H5" s="4" t="s">
        <v>73</v>
      </c>
      <c r="I5" s="4" t="s">
        <v>70</v>
      </c>
      <c r="J5" s="4" t="s">
        <v>24</v>
      </c>
      <c r="K5" s="4" t="s">
        <v>12</v>
      </c>
    </row>
    <row r="6" spans="2:13" ht="12.75">
      <c r="B6" s="4" t="s">
        <v>68</v>
      </c>
      <c r="C6" s="4" t="s">
        <v>27</v>
      </c>
      <c r="D6" s="4" t="s">
        <v>69</v>
      </c>
      <c r="E6" s="4" t="s">
        <v>13</v>
      </c>
      <c r="F6" s="4" t="s">
        <v>14</v>
      </c>
      <c r="G6" s="39" t="s">
        <v>56</v>
      </c>
      <c r="H6" s="4" t="s">
        <v>71</v>
      </c>
      <c r="I6" s="39" t="s">
        <v>56</v>
      </c>
      <c r="J6" s="4" t="s">
        <v>0</v>
      </c>
      <c r="K6" s="4" t="s">
        <v>0</v>
      </c>
      <c r="L6" s="4" t="s">
        <v>20</v>
      </c>
      <c r="M6" s="4"/>
    </row>
    <row r="7" spans="2:13" ht="12.75">
      <c r="B7" s="4" t="s">
        <v>0</v>
      </c>
      <c r="C7" s="4" t="s">
        <v>58</v>
      </c>
      <c r="D7" s="4" t="s">
        <v>22</v>
      </c>
      <c r="E7" s="4" t="s">
        <v>1</v>
      </c>
      <c r="F7" s="4" t="s">
        <v>23</v>
      </c>
      <c r="G7" s="4" t="s">
        <v>57</v>
      </c>
      <c r="H7" s="4" t="s">
        <v>74</v>
      </c>
      <c r="I7" s="4" t="s">
        <v>57</v>
      </c>
      <c r="J7" s="4" t="s">
        <v>56</v>
      </c>
      <c r="K7" s="4" t="s">
        <v>56</v>
      </c>
      <c r="L7" s="4" t="s">
        <v>2</v>
      </c>
      <c r="M7" s="4"/>
    </row>
    <row r="8" spans="1:13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f aca="true" t="shared" si="0" ref="G8:L8">+F8-1</f>
        <v>-6</v>
      </c>
      <c r="H8" s="48">
        <f t="shared" si="0"/>
        <v>-7</v>
      </c>
      <c r="I8" s="48">
        <f t="shared" si="0"/>
        <v>-8</v>
      </c>
      <c r="J8" s="48">
        <f t="shared" si="0"/>
        <v>-9</v>
      </c>
      <c r="K8" s="48">
        <f t="shared" si="0"/>
        <v>-10</v>
      </c>
      <c r="L8" s="48">
        <f t="shared" si="0"/>
        <v>-11</v>
      </c>
      <c r="M8" s="4"/>
    </row>
    <row r="9" spans="2:13" ht="7.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"/>
    </row>
    <row r="10" spans="1:16" ht="12.75">
      <c r="A10" s="151" t="str">
        <f>+'Scenario Inputs'!A21</f>
        <v>0 - 4</v>
      </c>
      <c r="B10" s="5">
        <f>+'Scenario Inputs'!B21</f>
        <v>20071268</v>
      </c>
      <c r="C10" s="176" t="s">
        <v>122</v>
      </c>
      <c r="D10" s="7">
        <f>+'Company Data'!C17</f>
        <v>1000</v>
      </c>
      <c r="E10" s="7">
        <f>+'Company Data'!D17</f>
        <v>1000</v>
      </c>
      <c r="F10" s="7">
        <f aca="true" t="shared" si="1" ref="F10:F27">E10*D10</f>
        <v>1000000</v>
      </c>
      <c r="G10" s="13">
        <f>+'Scenario Inputs'!C21</f>
        <v>1.237</v>
      </c>
      <c r="H10" s="8">
        <f aca="true" t="shared" si="2" ref="H10:H27">InsMort</f>
        <v>0.571</v>
      </c>
      <c r="I10" s="13">
        <f aca="true" t="shared" si="3" ref="I10:I27">ROUND(H10*G10,2)</f>
        <v>0.71</v>
      </c>
      <c r="J10" s="7">
        <f aca="true" t="shared" si="4" ref="J10:J27">+G10*B10/1000</f>
        <v>24828.158516000003</v>
      </c>
      <c r="K10" s="7">
        <f aca="true" t="shared" si="5" ref="K10:K27">+D10*I10/1000</f>
        <v>0.71</v>
      </c>
      <c r="L10" s="9">
        <f aca="true" t="shared" si="6" ref="L10:L27">+E10*K10</f>
        <v>710</v>
      </c>
      <c r="N10" s="160"/>
      <c r="O10" s="157"/>
      <c r="P10" s="157"/>
    </row>
    <row r="11" spans="1:16" ht="12.75">
      <c r="A11" s="151" t="str">
        <f>+'Scenario Inputs'!A22</f>
        <v>5 - 9</v>
      </c>
      <c r="B11" s="5">
        <f>+'Scenario Inputs'!B22</f>
        <v>19605572</v>
      </c>
      <c r="C11" s="176" t="s">
        <v>122</v>
      </c>
      <c r="D11" s="7">
        <f>+'Company Data'!C18</f>
        <v>1000</v>
      </c>
      <c r="E11" s="7">
        <f>+'Company Data'!D18</f>
        <v>1000</v>
      </c>
      <c r="F11" s="7">
        <f t="shared" si="1"/>
        <v>1000000</v>
      </c>
      <c r="G11" s="13">
        <f>+'Scenario Inputs'!C22</f>
        <v>0.247</v>
      </c>
      <c r="H11" s="8">
        <f t="shared" si="2"/>
        <v>0.571</v>
      </c>
      <c r="I11" s="13">
        <f t="shared" si="3"/>
        <v>0.14</v>
      </c>
      <c r="J11" s="7">
        <f t="shared" si="4"/>
        <v>4842.576284</v>
      </c>
      <c r="K11" s="7">
        <f t="shared" si="5"/>
        <v>0.14</v>
      </c>
      <c r="L11" s="9">
        <f t="shared" si="6"/>
        <v>140</v>
      </c>
      <c r="N11" s="160"/>
      <c r="O11" s="157"/>
      <c r="P11" s="157"/>
    </row>
    <row r="12" spans="1:16" ht="12.75">
      <c r="A12" s="151" t="str">
        <f>+'Scenario Inputs'!A23</f>
        <v>10 - 14</v>
      </c>
      <c r="B12" s="5">
        <f>+'Scenario Inputs'!B23</f>
        <v>21145156</v>
      </c>
      <c r="C12" s="176" t="s">
        <v>122</v>
      </c>
      <c r="D12" s="7">
        <f>+'Company Data'!C19</f>
        <v>1000</v>
      </c>
      <c r="E12" s="7">
        <f>+'Company Data'!D19</f>
        <v>1000</v>
      </c>
      <c r="F12" s="7">
        <f t="shared" si="1"/>
        <v>1000000</v>
      </c>
      <c r="G12" s="13">
        <f>+'Scenario Inputs'!C23</f>
        <v>0.247</v>
      </c>
      <c r="H12" s="8">
        <f t="shared" si="2"/>
        <v>0.571</v>
      </c>
      <c r="I12" s="13">
        <f t="shared" si="3"/>
        <v>0.14</v>
      </c>
      <c r="J12" s="7">
        <f t="shared" si="4"/>
        <v>5222.853532</v>
      </c>
      <c r="K12" s="7">
        <f t="shared" si="5"/>
        <v>0.14</v>
      </c>
      <c r="L12" s="9">
        <f t="shared" si="6"/>
        <v>140</v>
      </c>
      <c r="N12" s="160"/>
      <c r="O12" s="157"/>
      <c r="P12" s="157"/>
    </row>
    <row r="13" spans="1:16" ht="12.75">
      <c r="A13" s="151" t="str">
        <f>+'Scenario Inputs'!A24</f>
        <v>15 - 19</v>
      </c>
      <c r="B13" s="5">
        <f>+'Scenario Inputs'!B24</f>
        <v>20729802</v>
      </c>
      <c r="C13" s="176" t="s">
        <v>122</v>
      </c>
      <c r="D13" s="7">
        <f>+'Company Data'!C20</f>
        <v>1000</v>
      </c>
      <c r="E13" s="7">
        <f>+'Company Data'!D20</f>
        <v>1000</v>
      </c>
      <c r="F13" s="7">
        <f t="shared" si="1"/>
        <v>1000000</v>
      </c>
      <c r="G13" s="13">
        <f>+'Scenario Inputs'!C24</f>
        <v>0.742</v>
      </c>
      <c r="H13" s="8">
        <f t="shared" si="2"/>
        <v>0.571</v>
      </c>
      <c r="I13" s="13">
        <f t="shared" si="3"/>
        <v>0.42</v>
      </c>
      <c r="J13" s="7">
        <f t="shared" si="4"/>
        <v>15381.513084</v>
      </c>
      <c r="K13" s="7">
        <f t="shared" si="5"/>
        <v>0.42</v>
      </c>
      <c r="L13" s="9">
        <f t="shared" si="6"/>
        <v>420</v>
      </c>
      <c r="N13" s="160"/>
      <c r="O13" s="157"/>
      <c r="P13" s="157"/>
    </row>
    <row r="14" spans="1:16" ht="12.75">
      <c r="A14" s="151" t="str">
        <f>+'Scenario Inputs'!A25</f>
        <v>20 - 24</v>
      </c>
      <c r="B14" s="5">
        <f>+'Scenario Inputs'!B25</f>
        <v>20971302</v>
      </c>
      <c r="C14" s="176" t="s">
        <v>122</v>
      </c>
      <c r="D14" s="7">
        <f>+'Company Data'!C21</f>
        <v>1000</v>
      </c>
      <c r="E14" s="7">
        <f>+'Company Data'!D21</f>
        <v>1000</v>
      </c>
      <c r="F14" s="7">
        <f t="shared" si="1"/>
        <v>1000000</v>
      </c>
      <c r="G14" s="13">
        <f>+'Scenario Inputs'!C25</f>
        <v>1.072</v>
      </c>
      <c r="H14" s="8">
        <f t="shared" si="2"/>
        <v>0.571</v>
      </c>
      <c r="I14" s="13">
        <f t="shared" si="3"/>
        <v>0.61</v>
      </c>
      <c r="J14" s="7">
        <f t="shared" si="4"/>
        <v>22481.235744</v>
      </c>
      <c r="K14" s="7">
        <f t="shared" si="5"/>
        <v>0.61</v>
      </c>
      <c r="L14" s="9">
        <f t="shared" si="6"/>
        <v>610</v>
      </c>
      <c r="N14" s="160"/>
      <c r="O14" s="157"/>
      <c r="P14" s="157"/>
    </row>
    <row r="15" spans="1:16" ht="12.75">
      <c r="A15" s="151" t="str">
        <f>+'Scenario Inputs'!A26</f>
        <v>25 - 29</v>
      </c>
      <c r="B15" s="5">
        <f>+'Scenario Inputs'!B26</f>
        <v>19560906</v>
      </c>
      <c r="C15" s="176" t="s">
        <v>122</v>
      </c>
      <c r="D15" s="7">
        <f>+'Company Data'!C22</f>
        <v>1000</v>
      </c>
      <c r="E15" s="7">
        <f>+'Company Data'!D22</f>
        <v>1000</v>
      </c>
      <c r="F15" s="7">
        <f t="shared" si="1"/>
        <v>1000000</v>
      </c>
      <c r="G15" s="13">
        <f>+'Scenario Inputs'!C26</f>
        <v>1.567</v>
      </c>
      <c r="H15" s="8">
        <f t="shared" si="2"/>
        <v>0.571</v>
      </c>
      <c r="I15" s="13">
        <f t="shared" si="3"/>
        <v>0.89</v>
      </c>
      <c r="J15" s="7">
        <f t="shared" si="4"/>
        <v>30651.939702</v>
      </c>
      <c r="K15" s="7">
        <f t="shared" si="5"/>
        <v>0.89</v>
      </c>
      <c r="L15" s="9">
        <f t="shared" si="6"/>
        <v>890</v>
      </c>
      <c r="N15" s="160"/>
      <c r="O15" s="157"/>
      <c r="P15" s="157"/>
    </row>
    <row r="16" spans="1:16" ht="12.75">
      <c r="A16" s="151" t="str">
        <f>+'Scenario Inputs'!A27</f>
        <v>30 - 34</v>
      </c>
      <c r="B16" s="5">
        <f>+'Scenario Inputs'!B27</f>
        <v>20471032</v>
      </c>
      <c r="C16" s="176" t="s">
        <v>122</v>
      </c>
      <c r="D16" s="7">
        <f>+'Company Data'!C23</f>
        <v>1000</v>
      </c>
      <c r="E16" s="7">
        <f>+'Company Data'!D23</f>
        <v>1000</v>
      </c>
      <c r="F16" s="7">
        <f t="shared" si="1"/>
        <v>1000000</v>
      </c>
      <c r="G16" s="13">
        <f>+'Scenario Inputs'!C27</f>
        <v>1.567</v>
      </c>
      <c r="H16" s="8">
        <f t="shared" si="2"/>
        <v>0.571</v>
      </c>
      <c r="I16" s="13">
        <f t="shared" si="3"/>
        <v>0.89</v>
      </c>
      <c r="J16" s="7">
        <f t="shared" si="4"/>
        <v>32078.107143999998</v>
      </c>
      <c r="K16" s="7">
        <f t="shared" si="5"/>
        <v>0.89</v>
      </c>
      <c r="L16" s="9">
        <f t="shared" si="6"/>
        <v>890</v>
      </c>
      <c r="N16" s="160"/>
      <c r="O16" s="157"/>
      <c r="P16" s="157"/>
    </row>
    <row r="17" spans="1:16" ht="12.75">
      <c r="A17" s="151" t="str">
        <f>+'Scenario Inputs'!A28</f>
        <v>35 - 39</v>
      </c>
      <c r="B17" s="5">
        <f>+'Scenario Inputs'!B28</f>
        <v>21052318</v>
      </c>
      <c r="C17" s="176" t="s">
        <v>122</v>
      </c>
      <c r="D17" s="7">
        <f>+'Company Data'!C24</f>
        <v>1000</v>
      </c>
      <c r="E17" s="7">
        <f>+'Company Data'!D24</f>
        <v>1000</v>
      </c>
      <c r="F17" s="7">
        <f t="shared" si="1"/>
        <v>1000000</v>
      </c>
      <c r="G17" s="13">
        <f>+'Scenario Inputs'!C28</f>
        <v>0.907</v>
      </c>
      <c r="H17" s="8">
        <f t="shared" si="2"/>
        <v>0.571</v>
      </c>
      <c r="I17" s="13">
        <f t="shared" si="3"/>
        <v>0.52</v>
      </c>
      <c r="J17" s="7">
        <f t="shared" si="4"/>
        <v>19094.452426</v>
      </c>
      <c r="K17" s="7">
        <f t="shared" si="5"/>
        <v>0.52</v>
      </c>
      <c r="L17" s="9">
        <f t="shared" si="6"/>
        <v>520</v>
      </c>
      <c r="N17" s="160"/>
      <c r="O17" s="157"/>
      <c r="P17" s="157"/>
    </row>
    <row r="18" spans="1:16" ht="12.75">
      <c r="A18" s="151" t="str">
        <f>+'Scenario Inputs'!A29</f>
        <v>40 - 44</v>
      </c>
      <c r="B18" s="5">
        <f>+'Scenario Inputs'!B29</f>
        <v>23056334</v>
      </c>
      <c r="C18" s="176" t="s">
        <v>122</v>
      </c>
      <c r="D18" s="7">
        <f>+'Company Data'!C25</f>
        <v>1000</v>
      </c>
      <c r="E18" s="7">
        <f>+'Company Data'!D25</f>
        <v>1000</v>
      </c>
      <c r="F18" s="7">
        <f t="shared" si="1"/>
        <v>1000000</v>
      </c>
      <c r="G18" s="13">
        <f>+'Scenario Inputs'!C29</f>
        <v>0.742</v>
      </c>
      <c r="H18" s="8">
        <f t="shared" si="2"/>
        <v>0.571</v>
      </c>
      <c r="I18" s="13">
        <f t="shared" si="3"/>
        <v>0.42</v>
      </c>
      <c r="J18" s="7">
        <f t="shared" si="4"/>
        <v>17107.799828000003</v>
      </c>
      <c r="K18" s="7">
        <f t="shared" si="5"/>
        <v>0.42</v>
      </c>
      <c r="L18" s="9">
        <f t="shared" si="6"/>
        <v>420</v>
      </c>
      <c r="N18" s="160"/>
      <c r="O18" s="157"/>
      <c r="P18" s="157"/>
    </row>
    <row r="19" spans="1:16" ht="12.75">
      <c r="A19" s="151" t="str">
        <f>+'Scenario Inputs'!A30</f>
        <v>45 - 49</v>
      </c>
      <c r="B19" s="5">
        <f>+'Scenario Inputs'!B30</f>
        <v>22122629</v>
      </c>
      <c r="C19" s="176" t="s">
        <v>122</v>
      </c>
      <c r="D19" s="7">
        <f>+'Company Data'!C26</f>
        <v>1000</v>
      </c>
      <c r="E19" s="7">
        <f>+'Company Data'!D26</f>
        <v>1000</v>
      </c>
      <c r="F19" s="7">
        <f t="shared" si="1"/>
        <v>1000000</v>
      </c>
      <c r="G19" s="13">
        <f>+'Scenario Inputs'!C30</f>
        <v>0.577</v>
      </c>
      <c r="H19" s="8">
        <f t="shared" si="2"/>
        <v>0.571</v>
      </c>
      <c r="I19" s="13">
        <f t="shared" si="3"/>
        <v>0.33</v>
      </c>
      <c r="J19" s="7">
        <f t="shared" si="4"/>
        <v>12764.756932999999</v>
      </c>
      <c r="K19" s="7">
        <f t="shared" si="5"/>
        <v>0.33</v>
      </c>
      <c r="L19" s="9">
        <f t="shared" si="6"/>
        <v>330</v>
      </c>
      <c r="N19" s="160"/>
      <c r="O19" s="157"/>
      <c r="P19" s="157"/>
    </row>
    <row r="20" spans="1:16" ht="12.75">
      <c r="A20" s="151" t="str">
        <f>+'Scenario Inputs'!A31</f>
        <v>50 - 54</v>
      </c>
      <c r="B20" s="5">
        <f>+'Scenario Inputs'!B31</f>
        <v>19496176</v>
      </c>
      <c r="C20" s="176" t="s">
        <v>122</v>
      </c>
      <c r="D20" s="7">
        <f>+'Company Data'!C27</f>
        <v>1000</v>
      </c>
      <c r="E20" s="7">
        <f>+'Company Data'!D27</f>
        <v>1000</v>
      </c>
      <c r="F20" s="7">
        <f t="shared" si="1"/>
        <v>1000000</v>
      </c>
      <c r="G20" s="13">
        <f>+'Scenario Inputs'!C31</f>
        <v>0.412</v>
      </c>
      <c r="H20" s="8">
        <f t="shared" si="2"/>
        <v>0.571</v>
      </c>
      <c r="I20" s="13">
        <f t="shared" si="3"/>
        <v>0.24</v>
      </c>
      <c r="J20" s="7">
        <f t="shared" si="4"/>
        <v>8032.424512</v>
      </c>
      <c r="K20" s="7">
        <f t="shared" si="5"/>
        <v>0.24</v>
      </c>
      <c r="L20" s="9">
        <f t="shared" si="6"/>
        <v>240</v>
      </c>
      <c r="N20" s="160"/>
      <c r="O20" s="157"/>
      <c r="P20" s="157"/>
    </row>
    <row r="21" spans="1:16" ht="12.75">
      <c r="A21" s="151" t="str">
        <f>+'Scenario Inputs'!A32</f>
        <v>55 - 59</v>
      </c>
      <c r="B21" s="5">
        <f>+'Scenario Inputs'!B32</f>
        <v>16489501</v>
      </c>
      <c r="C21" s="176" t="s">
        <v>122</v>
      </c>
      <c r="D21" s="7">
        <f>+'Company Data'!C28</f>
        <v>1000</v>
      </c>
      <c r="E21" s="7">
        <f>+'Company Data'!D28</f>
        <v>1000</v>
      </c>
      <c r="F21" s="7">
        <f t="shared" si="1"/>
        <v>1000000</v>
      </c>
      <c r="G21" s="13">
        <f>+'Scenario Inputs'!C32</f>
        <v>0.33</v>
      </c>
      <c r="H21" s="8">
        <f t="shared" si="2"/>
        <v>0.571</v>
      </c>
      <c r="I21" s="13">
        <f t="shared" si="3"/>
        <v>0.19</v>
      </c>
      <c r="J21" s="7">
        <f t="shared" si="4"/>
        <v>5441.53533</v>
      </c>
      <c r="K21" s="7">
        <f t="shared" si="5"/>
        <v>0.19</v>
      </c>
      <c r="L21" s="9">
        <f t="shared" si="6"/>
        <v>190</v>
      </c>
      <c r="N21" s="160"/>
      <c r="O21" s="157"/>
      <c r="P21" s="157"/>
    </row>
    <row r="22" spans="1:16" ht="12.75">
      <c r="A22" s="151" t="str">
        <f>+'Scenario Inputs'!A33</f>
        <v>60 - 64</v>
      </c>
      <c r="B22" s="5">
        <f>+'Scenario Inputs'!B33</f>
        <v>12589423</v>
      </c>
      <c r="C22" s="176" t="s">
        <v>122</v>
      </c>
      <c r="D22" s="7">
        <f>+'Company Data'!C29</f>
        <v>1000</v>
      </c>
      <c r="E22" s="7">
        <f>+'Company Data'!D29</f>
        <v>1000</v>
      </c>
      <c r="F22" s="7">
        <f t="shared" si="1"/>
        <v>1000000</v>
      </c>
      <c r="G22" s="13">
        <f>+'Scenario Inputs'!C33</f>
        <v>0.247</v>
      </c>
      <c r="H22" s="8">
        <f t="shared" si="2"/>
        <v>0.571</v>
      </c>
      <c r="I22" s="13">
        <f t="shared" si="3"/>
        <v>0.14</v>
      </c>
      <c r="J22" s="7">
        <f t="shared" si="4"/>
        <v>3109.587481</v>
      </c>
      <c r="K22" s="7">
        <f t="shared" si="5"/>
        <v>0.14</v>
      </c>
      <c r="L22" s="9">
        <f t="shared" si="6"/>
        <v>140</v>
      </c>
      <c r="N22" s="160"/>
      <c r="O22" s="157"/>
      <c r="P22" s="157"/>
    </row>
    <row r="23" spans="1:16" ht="12.75">
      <c r="A23" s="151" t="str">
        <f>+'Scenario Inputs'!A34</f>
        <v>65 - 69</v>
      </c>
      <c r="B23" s="5">
        <f>+'Scenario Inputs'!B34</f>
        <v>9956467</v>
      </c>
      <c r="C23" s="176" t="s">
        <v>122</v>
      </c>
      <c r="D23" s="7">
        <f>+'Company Data'!C30</f>
        <v>1000</v>
      </c>
      <c r="E23" s="7">
        <f>+'Company Data'!D30</f>
        <v>1000</v>
      </c>
      <c r="F23" s="7">
        <f t="shared" si="1"/>
        <v>1000000</v>
      </c>
      <c r="G23" s="13">
        <f>+'Scenario Inputs'!C34</f>
        <v>0.165</v>
      </c>
      <c r="H23" s="8">
        <f t="shared" si="2"/>
        <v>0.571</v>
      </c>
      <c r="I23" s="13">
        <f t="shared" si="3"/>
        <v>0.09</v>
      </c>
      <c r="J23" s="7">
        <f t="shared" si="4"/>
        <v>1642.8170550000002</v>
      </c>
      <c r="K23" s="7">
        <f t="shared" si="5"/>
        <v>0.09</v>
      </c>
      <c r="L23" s="9">
        <f t="shared" si="6"/>
        <v>90</v>
      </c>
      <c r="N23" s="160"/>
      <c r="O23" s="157"/>
      <c r="P23" s="157"/>
    </row>
    <row r="24" spans="1:16" ht="12.75">
      <c r="A24" s="151" t="str">
        <f>+'Scenario Inputs'!A35</f>
        <v>70 - 74</v>
      </c>
      <c r="B24" s="5">
        <f>+'Scenario Inputs'!B35</f>
        <v>8507005</v>
      </c>
      <c r="C24" s="176" t="s">
        <v>122</v>
      </c>
      <c r="D24" s="7">
        <f>+'Company Data'!C31</f>
        <v>1000</v>
      </c>
      <c r="E24" s="7">
        <f>+'Company Data'!D31</f>
        <v>1000</v>
      </c>
      <c r="F24" s="7">
        <f t="shared" si="1"/>
        <v>1000000</v>
      </c>
      <c r="G24" s="13">
        <f>+'Scenario Inputs'!C35</f>
        <v>0.165</v>
      </c>
      <c r="H24" s="8">
        <f t="shared" si="2"/>
        <v>0.571</v>
      </c>
      <c r="I24" s="13">
        <f t="shared" si="3"/>
        <v>0.09</v>
      </c>
      <c r="J24" s="7">
        <f t="shared" si="4"/>
        <v>1403.655825</v>
      </c>
      <c r="K24" s="7">
        <f t="shared" si="5"/>
        <v>0.09</v>
      </c>
      <c r="L24" s="9">
        <f t="shared" si="6"/>
        <v>90</v>
      </c>
      <c r="N24" s="160"/>
      <c r="O24" s="157"/>
      <c r="P24" s="157"/>
    </row>
    <row r="25" spans="1:16" ht="12.75">
      <c r="A25" s="151" t="str">
        <f>+'Scenario Inputs'!A36</f>
        <v>75 - 79</v>
      </c>
      <c r="B25" s="5">
        <f>+'Scenario Inputs'!B36</f>
        <v>7410757</v>
      </c>
      <c r="C25" s="176" t="s">
        <v>122</v>
      </c>
      <c r="D25" s="7">
        <f>+'Company Data'!C32</f>
        <v>1000</v>
      </c>
      <c r="E25" s="7">
        <f>+'Company Data'!D32</f>
        <v>1000</v>
      </c>
      <c r="F25" s="7">
        <f t="shared" si="1"/>
        <v>1000000</v>
      </c>
      <c r="G25" s="13">
        <f>+'Scenario Inputs'!C36</f>
        <v>0.082</v>
      </c>
      <c r="H25" s="8">
        <f t="shared" si="2"/>
        <v>0.571</v>
      </c>
      <c r="I25" s="13">
        <f t="shared" si="3"/>
        <v>0.05</v>
      </c>
      <c r="J25" s="7">
        <f t="shared" si="4"/>
        <v>607.6820740000001</v>
      </c>
      <c r="K25" s="7">
        <f t="shared" si="5"/>
        <v>0.05</v>
      </c>
      <c r="L25" s="9">
        <f t="shared" si="6"/>
        <v>50</v>
      </c>
      <c r="N25" s="160"/>
      <c r="O25" s="157"/>
      <c r="P25" s="157"/>
    </row>
    <row r="26" spans="1:16" ht="12.75">
      <c r="A26" s="151" t="str">
        <f>+'Scenario Inputs'!A37</f>
        <v>80 - 84</v>
      </c>
      <c r="B26" s="5">
        <f>+'Scenario Inputs'!B37</f>
        <v>5560125</v>
      </c>
      <c r="C26" s="176" t="s">
        <v>122</v>
      </c>
      <c r="D26" s="7">
        <f>+'Company Data'!C33</f>
        <v>1000</v>
      </c>
      <c r="E26" s="7">
        <f>+'Company Data'!D33</f>
        <v>1000</v>
      </c>
      <c r="F26" s="7">
        <f>E26*D26</f>
        <v>1000000</v>
      </c>
      <c r="G26" s="13">
        <f>+'Scenario Inputs'!C37</f>
        <v>0.082</v>
      </c>
      <c r="H26" s="8">
        <f t="shared" si="2"/>
        <v>0.571</v>
      </c>
      <c r="I26" s="13">
        <f t="shared" si="3"/>
        <v>0.05</v>
      </c>
      <c r="J26" s="7">
        <f t="shared" si="4"/>
        <v>455.93025</v>
      </c>
      <c r="K26" s="7">
        <f t="shared" si="5"/>
        <v>0.05</v>
      </c>
      <c r="L26" s="9">
        <f t="shared" si="6"/>
        <v>50</v>
      </c>
      <c r="N26" s="160"/>
      <c r="O26" s="157"/>
      <c r="P26" s="157"/>
    </row>
    <row r="27" spans="1:16" ht="12.75">
      <c r="A27" s="50" t="str">
        <f>+'Scenario Inputs'!A38</f>
        <v>85+</v>
      </c>
      <c r="B27" s="51">
        <f>+'Scenario Inputs'!B38</f>
        <v>4859631</v>
      </c>
      <c r="C27" s="177" t="s">
        <v>122</v>
      </c>
      <c r="D27" s="52">
        <f>+'Company Data'!C34</f>
        <v>1000</v>
      </c>
      <c r="E27" s="52">
        <f>+'Company Data'!D34</f>
        <v>1000</v>
      </c>
      <c r="F27" s="52">
        <f t="shared" si="1"/>
        <v>1000000</v>
      </c>
      <c r="G27" s="66">
        <f>+'Scenario Inputs'!C38</f>
        <v>0.082</v>
      </c>
      <c r="H27" s="84">
        <f t="shared" si="2"/>
        <v>0.571</v>
      </c>
      <c r="I27" s="66">
        <f t="shared" si="3"/>
        <v>0.05</v>
      </c>
      <c r="J27" s="52">
        <f t="shared" si="4"/>
        <v>398.48974200000004</v>
      </c>
      <c r="K27" s="52">
        <f t="shared" si="5"/>
        <v>0.05</v>
      </c>
      <c r="L27" s="54">
        <f t="shared" si="6"/>
        <v>50</v>
      </c>
      <c r="N27" s="160"/>
      <c r="O27" s="157"/>
      <c r="P27" s="157"/>
    </row>
    <row r="28" spans="1:12" ht="4.5" customHeight="1">
      <c r="A28" s="47"/>
      <c r="B28" s="5"/>
      <c r="C28" s="6"/>
      <c r="D28" s="7"/>
      <c r="E28" s="41"/>
      <c r="F28" s="7"/>
      <c r="G28" s="15"/>
      <c r="H28" s="7"/>
      <c r="I28" s="7"/>
      <c r="J28" s="7"/>
      <c r="K28" s="7"/>
      <c r="L28" s="9"/>
    </row>
    <row r="29" spans="1:14" ht="12.75">
      <c r="A29" s="12" t="s">
        <v>3</v>
      </c>
      <c r="B29" s="5">
        <f>SUM(B10:B27)</f>
        <v>293655404</v>
      </c>
      <c r="D29" s="63">
        <f>SUM(D10:D27)</f>
        <v>18000</v>
      </c>
      <c r="F29" s="63">
        <f>SUM(F10:F27)</f>
        <v>18000000</v>
      </c>
      <c r="H29" s="7"/>
      <c r="I29" s="7"/>
      <c r="J29" s="7">
        <f>SUM(J10:J27)</f>
        <v>205545.515462</v>
      </c>
      <c r="K29" s="9">
        <f>SUM(K10:K27)</f>
        <v>5.97</v>
      </c>
      <c r="L29" s="150">
        <f>SUM(L10:L27)</f>
        <v>5970</v>
      </c>
      <c r="N29" s="14"/>
    </row>
    <row r="30" spans="7:12" ht="8.25" customHeight="1">
      <c r="G30" s="69"/>
      <c r="L30" s="11"/>
    </row>
    <row r="31" spans="4:12" ht="12.75">
      <c r="D31" s="6"/>
      <c r="H31" s="161"/>
      <c r="I31" s="69" t="s">
        <v>37</v>
      </c>
      <c r="J31" s="144">
        <f>1000*J29/B29</f>
        <v>0.6999548200447897</v>
      </c>
      <c r="K31" s="145">
        <f>1000*K29/$D$29</f>
        <v>0.33166666666666667</v>
      </c>
      <c r="L31" s="146">
        <f>1000*L29/F29</f>
        <v>0.33166666666666667</v>
      </c>
    </row>
    <row r="32" spans="5:12" ht="4.5" customHeight="1">
      <c r="E32" s="69"/>
      <c r="F32" s="7"/>
      <c r="H32" s="65"/>
      <c r="I32" s="69"/>
      <c r="J32" s="65"/>
      <c r="K32" s="65"/>
      <c r="L32" s="4"/>
    </row>
    <row r="33" spans="1:12" ht="12.75">
      <c r="A33" s="38"/>
      <c r="B33" s="98"/>
      <c r="C33" s="98"/>
      <c r="D33" s="98"/>
      <c r="E33" s="69" t="s">
        <v>30</v>
      </c>
      <c r="F33" s="7">
        <f>+F29/D29</f>
        <v>1000</v>
      </c>
      <c r="G33" s="163"/>
      <c r="H33" s="147"/>
      <c r="I33" s="69" t="s">
        <v>62</v>
      </c>
      <c r="J33" s="147">
        <f>SUM(J10:J13)/J29</f>
        <v>0.2445935213083963</v>
      </c>
      <c r="K33" s="147">
        <f>SUM(K10:K13)/K29</f>
        <v>0.23618090452261306</v>
      </c>
      <c r="L33" s="147">
        <f>SUM(L10:L13)/L29</f>
        <v>0.23618090452261306</v>
      </c>
    </row>
    <row r="34" spans="3:12" ht="12.75">
      <c r="C34" s="157"/>
      <c r="D34" s="157"/>
      <c r="E34" s="69" t="str">
        <f>"Net Amount Inforce "&amp;ScaleW</f>
        <v>Net Amount Inforce (millions)</v>
      </c>
      <c r="F34" s="9">
        <f>(F29-'Ind - Reins'!C29)/Scale</f>
        <v>17.982</v>
      </c>
      <c r="H34" s="162"/>
      <c r="I34" s="69" t="s">
        <v>63</v>
      </c>
      <c r="J34" s="148">
        <f>SUM(J14:J22)/J29</f>
        <v>0.7334717994753427</v>
      </c>
      <c r="K34" s="148">
        <f>SUM(K14:K22)/K29</f>
        <v>0.7085427135678393</v>
      </c>
      <c r="L34" s="148">
        <f>SUM(L14:L22)/L29</f>
        <v>0.7085427135678392</v>
      </c>
    </row>
    <row r="35" spans="4:12" ht="12.75">
      <c r="D35" s="63"/>
      <c r="E35" s="69"/>
      <c r="F35" s="98"/>
      <c r="H35" s="149"/>
      <c r="I35" s="69" t="s">
        <v>64</v>
      </c>
      <c r="J35" s="149">
        <f>SUM(J23:J27)/J29</f>
        <v>0.021934679216261074</v>
      </c>
      <c r="K35" s="149">
        <f>SUM(K23:K27)/K29</f>
        <v>0.055276381909547735</v>
      </c>
      <c r="L35" s="149">
        <f>SUM(L23:L27)/L29</f>
        <v>0.05527638190954774</v>
      </c>
    </row>
    <row r="36" spans="4:12" ht="12.75">
      <c r="D36" s="63"/>
      <c r="E36" s="69"/>
      <c r="F36" s="98"/>
      <c r="H36" s="149"/>
      <c r="I36" s="69"/>
      <c r="J36" s="149"/>
      <c r="K36" s="149"/>
      <c r="L36" s="149"/>
    </row>
    <row r="37" spans="8:12" ht="12.75">
      <c r="H37" s="132"/>
      <c r="I37" s="132"/>
      <c r="J37" s="132"/>
      <c r="K37" s="132"/>
      <c r="L37" s="132"/>
    </row>
    <row r="38" spans="2:12" ht="12.75">
      <c r="B38" s="67" t="s">
        <v>29</v>
      </c>
      <c r="C38" s="37"/>
      <c r="D38" s="37"/>
      <c r="G38" s="88"/>
      <c r="H38" s="58"/>
      <c r="I38" s="58"/>
      <c r="J38" s="58"/>
      <c r="K38" s="59"/>
      <c r="L38" s="143"/>
    </row>
    <row r="39" spans="1:12" ht="12.75">
      <c r="A39" s="56">
        <v>-1</v>
      </c>
      <c r="B39" s="3" t="str">
        <f>" "&amp;'Scenario Inputs'!$L$1&amp;", Column 6"</f>
        <v> Exhibit 1, Page 1, Column 6</v>
      </c>
      <c r="C39" s="37"/>
      <c r="D39" s="37"/>
      <c r="E39" s="56"/>
      <c r="F39" s="56">
        <v>-7</v>
      </c>
      <c r="G39" s="3" t="str">
        <f>" "&amp;'Scenario Inputs'!$L$1&amp;", Entry 5"</f>
        <v> Exhibit 1, Page 1, Entry 5</v>
      </c>
      <c r="H39" s="37"/>
      <c r="I39" s="37"/>
      <c r="J39" s="37"/>
      <c r="L39" s="43"/>
    </row>
    <row r="40" spans="1:10" ht="12.75">
      <c r="A40" s="56">
        <v>-2</v>
      </c>
      <c r="B40" s="3" t="s">
        <v>160</v>
      </c>
      <c r="C40" s="37"/>
      <c r="D40" s="37"/>
      <c r="F40" s="56">
        <v>-8</v>
      </c>
      <c r="G40" s="3" t="s">
        <v>75</v>
      </c>
      <c r="H40" s="37"/>
      <c r="I40" s="37"/>
      <c r="J40" s="37"/>
    </row>
    <row r="41" spans="1:10" ht="12.75">
      <c r="A41" s="56">
        <v>-3</v>
      </c>
      <c r="B41" s="37" t="s">
        <v>112</v>
      </c>
      <c r="C41" s="37"/>
      <c r="D41" s="37"/>
      <c r="F41" s="56">
        <v>-9</v>
      </c>
      <c r="G41" s="37" t="s">
        <v>76</v>
      </c>
      <c r="H41" s="37"/>
      <c r="I41" s="37"/>
      <c r="J41" s="37"/>
    </row>
    <row r="42" spans="1:7" s="37" customFormat="1" ht="12.75">
      <c r="A42" s="56">
        <v>-4</v>
      </c>
      <c r="B42" s="37" t="s">
        <v>119</v>
      </c>
      <c r="F42" s="56">
        <v>-10</v>
      </c>
      <c r="G42" s="37" t="s">
        <v>26</v>
      </c>
    </row>
    <row r="43" spans="1:7" s="37" customFormat="1" ht="12.75">
      <c r="A43" s="56">
        <v>-5</v>
      </c>
      <c r="B43" s="37" t="s">
        <v>161</v>
      </c>
      <c r="F43" s="56">
        <v>-11</v>
      </c>
      <c r="G43" s="37" t="s">
        <v>15</v>
      </c>
    </row>
    <row r="44" spans="1:2" s="37" customFormat="1" ht="12.75">
      <c r="A44" s="56">
        <v>-6</v>
      </c>
      <c r="B44" s="3" t="str">
        <f>" "&amp;'Scenario Inputs'!$L$1&amp;", Column 7"</f>
        <v> Exhibit 1, Page 1, Column 7</v>
      </c>
    </row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</sheetData>
  <printOptions/>
  <pageMargins left="0.5" right="0.5" top="0.75" bottom="0.75" header="0.5" footer="0.35"/>
  <pageSetup fitToHeight="1" fitToWidth="1" horizontalDpi="600" verticalDpi="600" orientation="landscape" scale="87" r:id="rId1"/>
  <headerFooter alignWithMargins="0">
    <oddFooter>&amp;L&amp;8&amp;F  &amp;A&amp;C&amp;8MBA Actuaries, Inc.&amp;R&amp;8&amp;D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5.7109375" style="3" customWidth="1"/>
    <col min="3" max="4" width="15.8515625" style="3" customWidth="1"/>
    <col min="5" max="5" width="11.00390625" style="3" customWidth="1"/>
    <col min="6" max="6" width="15.421875" style="3" customWidth="1"/>
    <col min="7" max="7" width="16.57421875" style="3" bestFit="1" customWidth="1"/>
    <col min="8" max="8" width="9.28125" style="3" bestFit="1" customWidth="1"/>
    <col min="9" max="9" width="14.8515625" style="3" customWidth="1"/>
    <col min="10" max="10" width="1.57421875" style="3" customWidth="1"/>
    <col min="11" max="16384" width="9.140625" style="3" customWidth="1"/>
  </cols>
  <sheetData>
    <row r="1" ht="12.75">
      <c r="J1" s="12" t="str">
        <f>+'Format Vars'!B11</f>
        <v> Exhibit 4, Page 1</v>
      </c>
    </row>
    <row r="2" spans="1:9" ht="18">
      <c r="A2" s="70" t="str">
        <f>"Net Group Claims - "&amp;scenario</f>
        <v>Net Group Claims - Moderate Scenario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  <c r="H3" s="39"/>
      <c r="I3" s="39"/>
    </row>
    <row r="5" spans="5:6" ht="12.75">
      <c r="E5" s="39"/>
      <c r="F5" s="39"/>
    </row>
    <row r="6" spans="2:9" ht="12.75">
      <c r="B6" s="4" t="s">
        <v>20</v>
      </c>
      <c r="C6" s="4" t="s">
        <v>19</v>
      </c>
      <c r="D6" s="4"/>
      <c r="E6" s="4" t="s">
        <v>16</v>
      </c>
      <c r="F6" s="4" t="s">
        <v>17</v>
      </c>
      <c r="G6" s="4" t="s">
        <v>33</v>
      </c>
      <c r="I6" s="4" t="s">
        <v>33</v>
      </c>
    </row>
    <row r="7" spans="1:9" ht="12.75">
      <c r="A7" s="3" t="s">
        <v>120</v>
      </c>
      <c r="B7" s="4" t="s">
        <v>2</v>
      </c>
      <c r="C7" s="4" t="s">
        <v>31</v>
      </c>
      <c r="D7" s="4" t="s">
        <v>33</v>
      </c>
      <c r="E7" s="4">
        <v>1000</v>
      </c>
      <c r="F7" s="4" t="s">
        <v>18</v>
      </c>
      <c r="G7" s="4" t="s">
        <v>34</v>
      </c>
      <c r="H7" s="4" t="s">
        <v>106</v>
      </c>
      <c r="I7" s="4" t="s">
        <v>35</v>
      </c>
    </row>
    <row r="8" spans="1:9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v>-6</v>
      </c>
      <c r="H8" s="48">
        <v>-7</v>
      </c>
      <c r="I8" s="48">
        <v>-8</v>
      </c>
    </row>
    <row r="9" ht="5.25" customHeight="1"/>
    <row r="10" spans="1:9" ht="12.75">
      <c r="A10" s="83" t="str">
        <f>+'Scenario Inputs'!A21</f>
        <v>0 - 4</v>
      </c>
      <c r="B10" s="7">
        <f>+'Group - Gross'!L10</f>
        <v>710</v>
      </c>
      <c r="C10" s="7">
        <f>+'Group - Reins'!G10</f>
        <v>0.71</v>
      </c>
      <c r="D10" s="7">
        <f aca="true" t="shared" si="0" ref="D10:D28">+B10-C10</f>
        <v>709.29</v>
      </c>
      <c r="E10" s="13">
        <f>+'Company Data'!F17</f>
        <v>1</v>
      </c>
      <c r="F10" s="7">
        <f aca="true" t="shared" si="1" ref="F10:F27">+D10*E10/1000</f>
        <v>0.70929</v>
      </c>
      <c r="G10" s="9">
        <f aca="true" t="shared" si="2" ref="G10:G27">+B10-F10-C10</f>
        <v>708.58071</v>
      </c>
      <c r="H10" s="86">
        <f aca="true" t="shared" si="3" ref="H10:H27">TaxOffset</f>
        <v>0.35</v>
      </c>
      <c r="I10" s="7">
        <f aca="true" t="shared" si="4" ref="I10:I27">+G10*(1-H10)</f>
        <v>460.57746149999997</v>
      </c>
    </row>
    <row r="11" spans="1:9" ht="12.75">
      <c r="A11" s="83" t="str">
        <f>+'Scenario Inputs'!A22</f>
        <v>5 - 9</v>
      </c>
      <c r="B11" s="7">
        <f>+'Group - Gross'!L11</f>
        <v>140</v>
      </c>
      <c r="C11" s="7">
        <f>+'Group - Reins'!G11</f>
        <v>0.14</v>
      </c>
      <c r="D11" s="7">
        <f t="shared" si="0"/>
        <v>139.86</v>
      </c>
      <c r="E11" s="13">
        <f>+'Company Data'!F18</f>
        <v>1</v>
      </c>
      <c r="F11" s="7">
        <f t="shared" si="1"/>
        <v>0.13986</v>
      </c>
      <c r="G11" s="9">
        <f t="shared" si="2"/>
        <v>139.72014000000001</v>
      </c>
      <c r="H11" s="86">
        <f t="shared" si="3"/>
        <v>0.35</v>
      </c>
      <c r="I11" s="7">
        <f t="shared" si="4"/>
        <v>90.81809100000001</v>
      </c>
    </row>
    <row r="12" spans="1:9" ht="12.75">
      <c r="A12" s="83" t="str">
        <f>+'Scenario Inputs'!A23</f>
        <v>10 - 14</v>
      </c>
      <c r="B12" s="7">
        <f>+'Group - Gross'!L12</f>
        <v>140</v>
      </c>
      <c r="C12" s="7">
        <f>+'Group - Reins'!G12</f>
        <v>0.14</v>
      </c>
      <c r="D12" s="7">
        <f t="shared" si="0"/>
        <v>139.86</v>
      </c>
      <c r="E12" s="13">
        <f>+'Company Data'!F19</f>
        <v>1</v>
      </c>
      <c r="F12" s="7">
        <f t="shared" si="1"/>
        <v>0.13986</v>
      </c>
      <c r="G12" s="9">
        <f t="shared" si="2"/>
        <v>139.72014000000001</v>
      </c>
      <c r="H12" s="86">
        <f t="shared" si="3"/>
        <v>0.35</v>
      </c>
      <c r="I12" s="7">
        <f t="shared" si="4"/>
        <v>90.81809100000001</v>
      </c>
    </row>
    <row r="13" spans="1:9" ht="12.75">
      <c r="A13" s="83" t="str">
        <f>+'Scenario Inputs'!A24</f>
        <v>15 - 19</v>
      </c>
      <c r="B13" s="7">
        <f>+'Group - Gross'!L13</f>
        <v>420</v>
      </c>
      <c r="C13" s="7">
        <f>+'Group - Reins'!G13</f>
        <v>0.42</v>
      </c>
      <c r="D13" s="7">
        <f t="shared" si="0"/>
        <v>419.58</v>
      </c>
      <c r="E13" s="13">
        <f>+'Company Data'!F20</f>
        <v>1</v>
      </c>
      <c r="F13" s="7">
        <f t="shared" si="1"/>
        <v>0.41958</v>
      </c>
      <c r="G13" s="9">
        <f t="shared" si="2"/>
        <v>419.16042</v>
      </c>
      <c r="H13" s="86">
        <f t="shared" si="3"/>
        <v>0.35</v>
      </c>
      <c r="I13" s="7">
        <f t="shared" si="4"/>
        <v>272.454273</v>
      </c>
    </row>
    <row r="14" spans="1:9" ht="12.75">
      <c r="A14" s="83" t="str">
        <f>+'Scenario Inputs'!A25</f>
        <v>20 - 24</v>
      </c>
      <c r="B14" s="7">
        <f>+'Group - Gross'!L14</f>
        <v>610</v>
      </c>
      <c r="C14" s="7">
        <f>+'Group - Reins'!G14</f>
        <v>0.61</v>
      </c>
      <c r="D14" s="7">
        <f t="shared" si="0"/>
        <v>609.39</v>
      </c>
      <c r="E14" s="13">
        <f>+'Company Data'!F21</f>
        <v>1</v>
      </c>
      <c r="F14" s="7">
        <f t="shared" si="1"/>
        <v>0.60939</v>
      </c>
      <c r="G14" s="9">
        <f t="shared" si="2"/>
        <v>608.78061</v>
      </c>
      <c r="H14" s="86">
        <f t="shared" si="3"/>
        <v>0.35</v>
      </c>
      <c r="I14" s="7">
        <f t="shared" si="4"/>
        <v>395.7073965</v>
      </c>
    </row>
    <row r="15" spans="1:9" ht="12.75">
      <c r="A15" s="83" t="str">
        <f>+'Scenario Inputs'!A26</f>
        <v>25 - 29</v>
      </c>
      <c r="B15" s="7">
        <f>+'Group - Gross'!L15</f>
        <v>890</v>
      </c>
      <c r="C15" s="7">
        <f>+'Group - Reins'!G15</f>
        <v>0.89</v>
      </c>
      <c r="D15" s="7">
        <f t="shared" si="0"/>
        <v>889.11</v>
      </c>
      <c r="E15" s="13">
        <f>+'Company Data'!F22</f>
        <v>1</v>
      </c>
      <c r="F15" s="7">
        <f t="shared" si="1"/>
        <v>0.8891100000000001</v>
      </c>
      <c r="G15" s="9">
        <f t="shared" si="2"/>
        <v>888.22089</v>
      </c>
      <c r="H15" s="86">
        <f t="shared" si="3"/>
        <v>0.35</v>
      </c>
      <c r="I15" s="7">
        <f t="shared" si="4"/>
        <v>577.3435785</v>
      </c>
    </row>
    <row r="16" spans="1:9" ht="12.75">
      <c r="A16" s="83" t="str">
        <f>+'Scenario Inputs'!A27</f>
        <v>30 - 34</v>
      </c>
      <c r="B16" s="7">
        <f>+'Group - Gross'!L16</f>
        <v>890</v>
      </c>
      <c r="C16" s="7">
        <f>+'Group - Reins'!G16</f>
        <v>0.89</v>
      </c>
      <c r="D16" s="7">
        <f t="shared" si="0"/>
        <v>889.11</v>
      </c>
      <c r="E16" s="13">
        <f>+'Company Data'!F23</f>
        <v>1</v>
      </c>
      <c r="F16" s="7">
        <f t="shared" si="1"/>
        <v>0.8891100000000001</v>
      </c>
      <c r="G16" s="9">
        <f t="shared" si="2"/>
        <v>888.22089</v>
      </c>
      <c r="H16" s="86">
        <f t="shared" si="3"/>
        <v>0.35</v>
      </c>
      <c r="I16" s="7">
        <f t="shared" si="4"/>
        <v>577.3435785</v>
      </c>
    </row>
    <row r="17" spans="1:9" ht="12.75">
      <c r="A17" s="83" t="str">
        <f>+'Scenario Inputs'!A28</f>
        <v>35 - 39</v>
      </c>
      <c r="B17" s="7">
        <f>+'Group - Gross'!L17</f>
        <v>520</v>
      </c>
      <c r="C17" s="7">
        <f>+'Group - Reins'!G17</f>
        <v>0.52</v>
      </c>
      <c r="D17" s="7">
        <f t="shared" si="0"/>
        <v>519.48</v>
      </c>
      <c r="E17" s="13">
        <f>+'Company Data'!F24</f>
        <v>1</v>
      </c>
      <c r="F17" s="7">
        <f t="shared" si="1"/>
        <v>0.51948</v>
      </c>
      <c r="G17" s="9">
        <f t="shared" si="2"/>
        <v>518.96052</v>
      </c>
      <c r="H17" s="86">
        <f t="shared" si="3"/>
        <v>0.35</v>
      </c>
      <c r="I17" s="7">
        <f t="shared" si="4"/>
        <v>337.324338</v>
      </c>
    </row>
    <row r="18" spans="1:9" ht="12.75">
      <c r="A18" s="83" t="str">
        <f>+'Scenario Inputs'!A29</f>
        <v>40 - 44</v>
      </c>
      <c r="B18" s="7">
        <f>+'Group - Gross'!L18</f>
        <v>420</v>
      </c>
      <c r="C18" s="7">
        <f>+'Group - Reins'!G18</f>
        <v>0.42</v>
      </c>
      <c r="D18" s="7">
        <f t="shared" si="0"/>
        <v>419.58</v>
      </c>
      <c r="E18" s="13">
        <f>+'Company Data'!F25</f>
        <v>1</v>
      </c>
      <c r="F18" s="7">
        <f t="shared" si="1"/>
        <v>0.41958</v>
      </c>
      <c r="G18" s="9">
        <f t="shared" si="2"/>
        <v>419.16042</v>
      </c>
      <c r="H18" s="86">
        <f t="shared" si="3"/>
        <v>0.35</v>
      </c>
      <c r="I18" s="7">
        <f t="shared" si="4"/>
        <v>272.454273</v>
      </c>
    </row>
    <row r="19" spans="1:9" ht="12.75">
      <c r="A19" s="83" t="str">
        <f>+'Scenario Inputs'!A30</f>
        <v>45 - 49</v>
      </c>
      <c r="B19" s="7">
        <f>+'Group - Gross'!L19</f>
        <v>330</v>
      </c>
      <c r="C19" s="7">
        <f>+'Group - Reins'!G19</f>
        <v>0.33</v>
      </c>
      <c r="D19" s="7">
        <f t="shared" si="0"/>
        <v>329.67</v>
      </c>
      <c r="E19" s="13">
        <f>+'Company Data'!F26</f>
        <v>1</v>
      </c>
      <c r="F19" s="7">
        <f t="shared" si="1"/>
        <v>0.32967</v>
      </c>
      <c r="G19" s="9">
        <f t="shared" si="2"/>
        <v>329.34033</v>
      </c>
      <c r="H19" s="86">
        <f t="shared" si="3"/>
        <v>0.35</v>
      </c>
      <c r="I19" s="7">
        <f t="shared" si="4"/>
        <v>214.0712145</v>
      </c>
    </row>
    <row r="20" spans="1:9" ht="12.75">
      <c r="A20" s="83" t="str">
        <f>+'Scenario Inputs'!A31</f>
        <v>50 - 54</v>
      </c>
      <c r="B20" s="7">
        <f>+'Group - Gross'!L20</f>
        <v>240</v>
      </c>
      <c r="C20" s="7">
        <f>+'Group - Reins'!G20</f>
        <v>0.24</v>
      </c>
      <c r="D20" s="7">
        <f t="shared" si="0"/>
        <v>239.76</v>
      </c>
      <c r="E20" s="13">
        <f>+'Company Data'!F27</f>
        <v>1</v>
      </c>
      <c r="F20" s="7">
        <f t="shared" si="1"/>
        <v>0.23976</v>
      </c>
      <c r="G20" s="9">
        <f t="shared" si="2"/>
        <v>239.52024</v>
      </c>
      <c r="H20" s="86">
        <f t="shared" si="3"/>
        <v>0.35</v>
      </c>
      <c r="I20" s="7">
        <f t="shared" si="4"/>
        <v>155.688156</v>
      </c>
    </row>
    <row r="21" spans="1:9" ht="12.75">
      <c r="A21" s="83" t="str">
        <f>+'Scenario Inputs'!A32</f>
        <v>55 - 59</v>
      </c>
      <c r="B21" s="7">
        <f>+'Group - Gross'!L21</f>
        <v>190</v>
      </c>
      <c r="C21" s="7">
        <f>+'Group - Reins'!G21</f>
        <v>0.19</v>
      </c>
      <c r="D21" s="7">
        <f t="shared" si="0"/>
        <v>189.81</v>
      </c>
      <c r="E21" s="13">
        <f>+'Company Data'!F28</f>
        <v>1</v>
      </c>
      <c r="F21" s="7">
        <f t="shared" si="1"/>
        <v>0.18981</v>
      </c>
      <c r="G21" s="9">
        <f t="shared" si="2"/>
        <v>189.62019</v>
      </c>
      <c r="H21" s="86">
        <f t="shared" si="3"/>
        <v>0.35</v>
      </c>
      <c r="I21" s="7">
        <f t="shared" si="4"/>
        <v>123.25312350000002</v>
      </c>
    </row>
    <row r="22" spans="1:9" ht="12.75">
      <c r="A22" s="83" t="str">
        <f>+'Scenario Inputs'!A33</f>
        <v>60 - 64</v>
      </c>
      <c r="B22" s="7">
        <f>+'Group - Gross'!L22</f>
        <v>140</v>
      </c>
      <c r="C22" s="7">
        <f>+'Group - Reins'!G22</f>
        <v>0.14</v>
      </c>
      <c r="D22" s="7">
        <f t="shared" si="0"/>
        <v>139.86</v>
      </c>
      <c r="E22" s="13">
        <f>+'Company Data'!F29</f>
        <v>1</v>
      </c>
      <c r="F22" s="7">
        <f t="shared" si="1"/>
        <v>0.13986</v>
      </c>
      <c r="G22" s="63">
        <f t="shared" si="2"/>
        <v>139.72014000000001</v>
      </c>
      <c r="H22" s="86">
        <f t="shared" si="3"/>
        <v>0.35</v>
      </c>
      <c r="I22" s="7">
        <f t="shared" si="4"/>
        <v>90.81809100000001</v>
      </c>
    </row>
    <row r="23" spans="1:9" ht="12.75">
      <c r="A23" s="83" t="str">
        <f>+'Scenario Inputs'!A34</f>
        <v>65 - 69</v>
      </c>
      <c r="B23" s="7">
        <f>+'Group - Gross'!L23</f>
        <v>90</v>
      </c>
      <c r="C23" s="7">
        <f>+'Group - Reins'!G23</f>
        <v>0.09</v>
      </c>
      <c r="D23" s="7">
        <f t="shared" si="0"/>
        <v>89.91</v>
      </c>
      <c r="E23" s="13">
        <f>+'Company Data'!F30</f>
        <v>1</v>
      </c>
      <c r="F23" s="7">
        <f t="shared" si="1"/>
        <v>0.08990999999999999</v>
      </c>
      <c r="G23" s="63">
        <f t="shared" si="2"/>
        <v>89.82009</v>
      </c>
      <c r="H23" s="86">
        <f t="shared" si="3"/>
        <v>0.35</v>
      </c>
      <c r="I23" s="7">
        <f t="shared" si="4"/>
        <v>58.3830585</v>
      </c>
    </row>
    <row r="24" spans="1:9" ht="12.75">
      <c r="A24" s="83" t="str">
        <f>+'Scenario Inputs'!A35</f>
        <v>70 - 74</v>
      </c>
      <c r="B24" s="7">
        <f>+'Group - Gross'!L24</f>
        <v>90</v>
      </c>
      <c r="C24" s="7">
        <f>+'Group - Reins'!G24</f>
        <v>0.09</v>
      </c>
      <c r="D24" s="7">
        <f t="shared" si="0"/>
        <v>89.91</v>
      </c>
      <c r="E24" s="13">
        <f>+'Company Data'!F31</f>
        <v>1</v>
      </c>
      <c r="F24" s="7">
        <f t="shared" si="1"/>
        <v>0.08990999999999999</v>
      </c>
      <c r="G24" s="63">
        <f t="shared" si="2"/>
        <v>89.82009</v>
      </c>
      <c r="H24" s="86">
        <f t="shared" si="3"/>
        <v>0.35</v>
      </c>
      <c r="I24" s="7">
        <f t="shared" si="4"/>
        <v>58.3830585</v>
      </c>
    </row>
    <row r="25" spans="1:9" ht="12.75">
      <c r="A25" s="83" t="str">
        <f>+'Scenario Inputs'!A36</f>
        <v>75 - 79</v>
      </c>
      <c r="B25" s="7">
        <f>+'Group - Gross'!L25</f>
        <v>50</v>
      </c>
      <c r="C25" s="7">
        <f>+'Group - Reins'!G25</f>
        <v>0.05</v>
      </c>
      <c r="D25" s="7">
        <f t="shared" si="0"/>
        <v>49.95</v>
      </c>
      <c r="E25" s="13">
        <f>+'Company Data'!F32</f>
        <v>1</v>
      </c>
      <c r="F25" s="7">
        <f t="shared" si="1"/>
        <v>0.04995</v>
      </c>
      <c r="G25" s="63">
        <f t="shared" si="2"/>
        <v>49.90005</v>
      </c>
      <c r="H25" s="86">
        <f t="shared" si="3"/>
        <v>0.35</v>
      </c>
      <c r="I25" s="7">
        <f t="shared" si="4"/>
        <v>32.4350325</v>
      </c>
    </row>
    <row r="26" spans="1:9" ht="12.75">
      <c r="A26" s="83" t="str">
        <f>+'Scenario Inputs'!A37</f>
        <v>80 - 84</v>
      </c>
      <c r="B26" s="7">
        <f>+'Group - Gross'!L26</f>
        <v>50</v>
      </c>
      <c r="C26" s="7">
        <f>+'Group - Reins'!G26</f>
        <v>0.05</v>
      </c>
      <c r="D26" s="7">
        <f t="shared" si="0"/>
        <v>49.95</v>
      </c>
      <c r="E26" s="13">
        <f>+'Company Data'!F33</f>
        <v>1</v>
      </c>
      <c r="F26" s="7">
        <f t="shared" si="1"/>
        <v>0.04995</v>
      </c>
      <c r="G26" s="63">
        <f t="shared" si="2"/>
        <v>49.90005</v>
      </c>
      <c r="H26" s="86">
        <f t="shared" si="3"/>
        <v>0.35</v>
      </c>
      <c r="I26" s="7">
        <f t="shared" si="4"/>
        <v>32.4350325</v>
      </c>
    </row>
    <row r="27" spans="1:9" ht="12.75">
      <c r="A27" s="50" t="str">
        <f>+'Scenario Inputs'!A38</f>
        <v>85+</v>
      </c>
      <c r="B27" s="52">
        <f>+'Group - Gross'!L27</f>
        <v>50</v>
      </c>
      <c r="C27" s="52">
        <f>+'Group - Reins'!G27</f>
        <v>0.05</v>
      </c>
      <c r="D27" s="52">
        <f t="shared" si="0"/>
        <v>49.95</v>
      </c>
      <c r="E27" s="66">
        <f>+'Company Data'!F34</f>
        <v>1</v>
      </c>
      <c r="F27" s="52">
        <f t="shared" si="1"/>
        <v>0.04995</v>
      </c>
      <c r="G27" s="81">
        <f t="shared" si="2"/>
        <v>49.90005</v>
      </c>
      <c r="H27" s="87">
        <f t="shared" si="3"/>
        <v>0.35</v>
      </c>
      <c r="I27" s="52">
        <f t="shared" si="4"/>
        <v>32.4350325</v>
      </c>
    </row>
    <row r="28" spans="1:4" ht="6" customHeight="1">
      <c r="A28" s="47"/>
      <c r="D28" s="9">
        <f t="shared" si="0"/>
        <v>0</v>
      </c>
    </row>
    <row r="29" spans="1:9" ht="12.75">
      <c r="A29" s="12" t="s">
        <v>3</v>
      </c>
      <c r="B29" s="9">
        <f>SUM(B10:B27)</f>
        <v>5970</v>
      </c>
      <c r="C29" s="9">
        <f>SUM(C10:C27)</f>
        <v>5.97</v>
      </c>
      <c r="D29" s="9">
        <f>SUM(D10:D27)</f>
        <v>5964.03</v>
      </c>
      <c r="E29" s="9"/>
      <c r="F29" s="9">
        <f>SUM(F10:F27)</f>
        <v>5.964029999999999</v>
      </c>
      <c r="G29" s="9">
        <f>SUM(G10:G27)</f>
        <v>5958.065970000001</v>
      </c>
      <c r="I29" s="9">
        <f>SUM(I10:I27)</f>
        <v>3872.742880500001</v>
      </c>
    </row>
    <row r="30" ht="4.5" customHeight="1">
      <c r="F30" s="14"/>
    </row>
    <row r="31" spans="2:9" ht="12.75">
      <c r="B31" s="69" t="s">
        <v>111</v>
      </c>
      <c r="C31" s="175">
        <f>+C29/$B$29</f>
        <v>0.001</v>
      </c>
      <c r="D31" s="175"/>
      <c r="E31" s="80"/>
      <c r="F31" s="175">
        <f>+F29/$B$29</f>
        <v>0.0009989999999999999</v>
      </c>
      <c r="G31" s="175">
        <f>+G29/$B$29</f>
        <v>0.9980010000000001</v>
      </c>
      <c r="H31" s="80"/>
      <c r="I31" s="175">
        <f>+I29/$B$29</f>
        <v>0.6487006500000001</v>
      </c>
    </row>
    <row r="32" ht="12.75">
      <c r="F32" s="14"/>
    </row>
    <row r="33" ht="12.75">
      <c r="F33" s="14"/>
    </row>
    <row r="34" spans="2:6" ht="12.75">
      <c r="B34" s="130" t="s">
        <v>29</v>
      </c>
      <c r="F34" s="14"/>
    </row>
    <row r="35" spans="1:6" ht="12.75">
      <c r="A35" s="56">
        <v>-1</v>
      </c>
      <c r="B35" s="3" t="str">
        <f>+'Group - Gross'!M1&amp;", Column 11"</f>
        <v> Exhibit 4, Page 3, Column 11</v>
      </c>
      <c r="C35" s="37"/>
      <c r="D35" s="56">
        <f>+A38-1</f>
        <v>-5</v>
      </c>
      <c r="E35" s="3" t="s">
        <v>93</v>
      </c>
      <c r="F35" s="37"/>
    </row>
    <row r="36" spans="1:6" ht="12.75">
      <c r="A36" s="56">
        <f>+A35-1</f>
        <v>-2</v>
      </c>
      <c r="B36" s="3" t="str">
        <f>+'Group - Reins'!H1&amp;", Column 6"</f>
        <v> Exhibit 4, Page 2, Column 6</v>
      </c>
      <c r="C36" s="37"/>
      <c r="D36" s="56">
        <f>+D35-1</f>
        <v>-6</v>
      </c>
      <c r="E36" s="3" t="s">
        <v>94</v>
      </c>
      <c r="F36" s="37"/>
    </row>
    <row r="37" spans="1:6" ht="12.75">
      <c r="A37" s="56">
        <f>+A36-1</f>
        <v>-3</v>
      </c>
      <c r="B37" s="3" t="s">
        <v>92</v>
      </c>
      <c r="C37" s="37"/>
      <c r="D37" s="56">
        <f>+D36-1</f>
        <v>-7</v>
      </c>
      <c r="E37" s="3" t="s">
        <v>113</v>
      </c>
      <c r="F37" s="37"/>
    </row>
    <row r="38" spans="1:6" ht="12.75">
      <c r="A38" s="56">
        <f>+A37-1</f>
        <v>-4</v>
      </c>
      <c r="B38" s="3" t="s">
        <v>116</v>
      </c>
      <c r="C38" s="37"/>
      <c r="D38" s="56">
        <f>+D37-1</f>
        <v>-8</v>
      </c>
      <c r="E38" s="3" t="s">
        <v>95</v>
      </c>
      <c r="F38" s="37"/>
    </row>
    <row r="39" spans="3:6" ht="12.75">
      <c r="C39" s="37"/>
      <c r="D39" s="37"/>
      <c r="E39" s="37"/>
      <c r="F39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</sheetData>
  <printOptions horizontalCentered="1"/>
  <pageMargins left="0.5" right="0.5" top="0.75" bottom="0.75" header="0.5" footer="0.35"/>
  <pageSetup fitToHeight="1" fitToWidth="1" horizontalDpi="600" verticalDpi="600" orientation="landscape" r:id="rId1"/>
  <headerFooter alignWithMargins="0">
    <oddFooter>&amp;L&amp;8&amp;F  &amp;A&amp;C&amp;8MBA Actuaries, Inc.&amp;R&amp;8&amp;D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2" width="12.7109375" style="3" customWidth="1"/>
    <col min="3" max="3" width="15.7109375" style="3" customWidth="1"/>
    <col min="4" max="4" width="12.7109375" style="3" customWidth="1"/>
    <col min="5" max="5" width="15.7109375" style="3" customWidth="1"/>
    <col min="6" max="6" width="14.140625" style="3" customWidth="1"/>
    <col min="7" max="7" width="15.7109375" style="3" customWidth="1"/>
    <col min="8" max="8" width="2.140625" style="3" customWidth="1"/>
    <col min="9" max="16384" width="9.140625" style="3" customWidth="1"/>
  </cols>
  <sheetData>
    <row r="1" ht="12.75">
      <c r="H1" s="12" t="str">
        <f>+'Format Vars'!B12</f>
        <v> Exhibit 4, Page 2</v>
      </c>
    </row>
    <row r="2" spans="1:7" ht="18">
      <c r="A2" s="70" t="str">
        <f>"Group Reinsurance Analysis - "&amp;scenario</f>
        <v>Group Reinsurance Analysis - Moderate Scenario</v>
      </c>
      <c r="B2" s="39"/>
      <c r="C2" s="39"/>
      <c r="D2" s="39"/>
      <c r="E2" s="39"/>
      <c r="F2" s="39"/>
      <c r="G2" s="39"/>
    </row>
    <row r="3" spans="1:9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  <c r="I3" s="40"/>
    </row>
    <row r="4" spans="5:9" ht="12.75">
      <c r="E4" s="57"/>
      <c r="F4" s="64"/>
      <c r="G4" s="58"/>
      <c r="I4" s="40"/>
    </row>
    <row r="5" spans="2:10" ht="12.75">
      <c r="B5" s="4"/>
      <c r="E5" s="57"/>
      <c r="F5" s="55"/>
      <c r="G5" s="58"/>
      <c r="J5" s="4"/>
    </row>
    <row r="6" spans="2:13" ht="12.75">
      <c r="B6" s="4" t="s">
        <v>19</v>
      </c>
      <c r="C6" s="4" t="s">
        <v>19</v>
      </c>
      <c r="D6" s="39" t="s">
        <v>8</v>
      </c>
      <c r="E6" s="4" t="s">
        <v>19</v>
      </c>
      <c r="F6" s="4" t="s">
        <v>19</v>
      </c>
      <c r="G6" s="4" t="s">
        <v>19</v>
      </c>
      <c r="H6" s="73"/>
      <c r="I6" s="73"/>
      <c r="J6" s="73"/>
      <c r="K6" s="73"/>
      <c r="L6" s="4"/>
      <c r="M6" s="4"/>
    </row>
    <row r="7" spans="2:13" ht="12.75">
      <c r="B7" s="4" t="s">
        <v>25</v>
      </c>
      <c r="C7" s="4" t="s">
        <v>162</v>
      </c>
      <c r="D7" s="4" t="s">
        <v>7</v>
      </c>
      <c r="E7" s="4" t="s">
        <v>2</v>
      </c>
      <c r="F7" s="4" t="s">
        <v>32</v>
      </c>
      <c r="G7" s="4" t="s">
        <v>31</v>
      </c>
      <c r="H7" s="4"/>
      <c r="I7" s="4"/>
      <c r="J7" s="4"/>
      <c r="K7" s="4"/>
      <c r="L7" s="4"/>
      <c r="M7" s="4"/>
    </row>
    <row r="8" spans="1:13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v>-6</v>
      </c>
      <c r="H8" s="48"/>
      <c r="I8" s="48"/>
      <c r="J8" s="48"/>
      <c r="K8" s="48"/>
      <c r="L8" s="48"/>
      <c r="M8" s="4"/>
    </row>
    <row r="9" ht="5.25" customHeight="1"/>
    <row r="10" spans="1:7" ht="12.75">
      <c r="A10" s="4" t="str">
        <f>+'Ind - Gross'!A10</f>
        <v>0 - 4</v>
      </c>
      <c r="B10" s="180" t="s">
        <v>122</v>
      </c>
      <c r="C10" s="7">
        <f>+'Company Data'!I17</f>
        <v>1000</v>
      </c>
      <c r="D10" s="61">
        <f>+'Group - Gross'!I10</f>
        <v>0.71</v>
      </c>
      <c r="E10" s="7">
        <f aca="true" t="shared" si="0" ref="E10:E27">+C10*D10/1000</f>
        <v>0.71</v>
      </c>
      <c r="F10" s="8">
        <f aca="true" t="shared" si="1" ref="F10:F27">ReinsCredit</f>
        <v>1</v>
      </c>
      <c r="G10" s="9">
        <f aca="true" t="shared" si="2" ref="G10:G27">+F10*E10</f>
        <v>0.71</v>
      </c>
    </row>
    <row r="11" spans="1:7" ht="12.75">
      <c r="A11" s="4" t="str">
        <f>+'Ind - Gross'!A11</f>
        <v>5 - 9</v>
      </c>
      <c r="B11" s="180" t="s">
        <v>122</v>
      </c>
      <c r="C11" s="7">
        <f>+'Company Data'!I18</f>
        <v>1000</v>
      </c>
      <c r="D11" s="61">
        <f>+'Group - Gross'!I11</f>
        <v>0.14</v>
      </c>
      <c r="E11" s="7">
        <f t="shared" si="0"/>
        <v>0.14</v>
      </c>
      <c r="F11" s="8">
        <f t="shared" si="1"/>
        <v>1</v>
      </c>
      <c r="G11" s="9">
        <f t="shared" si="2"/>
        <v>0.14</v>
      </c>
    </row>
    <row r="12" spans="1:7" ht="12.75">
      <c r="A12" s="4" t="str">
        <f>+'Ind - Gross'!A12</f>
        <v>10 - 14</v>
      </c>
      <c r="B12" s="180" t="s">
        <v>122</v>
      </c>
      <c r="C12" s="7">
        <f>+'Company Data'!I19</f>
        <v>1000</v>
      </c>
      <c r="D12" s="61">
        <f>+'Group - Gross'!I12</f>
        <v>0.14</v>
      </c>
      <c r="E12" s="7">
        <f t="shared" si="0"/>
        <v>0.14</v>
      </c>
      <c r="F12" s="8">
        <f t="shared" si="1"/>
        <v>1</v>
      </c>
      <c r="G12" s="9">
        <f t="shared" si="2"/>
        <v>0.14</v>
      </c>
    </row>
    <row r="13" spans="1:7" ht="12.75">
      <c r="A13" s="4" t="str">
        <f>+'Ind - Gross'!A13</f>
        <v>15 - 19</v>
      </c>
      <c r="B13" s="180" t="s">
        <v>122</v>
      </c>
      <c r="C13" s="7">
        <f>+'Company Data'!I20</f>
        <v>1000</v>
      </c>
      <c r="D13" s="61">
        <f>+'Group - Gross'!I13</f>
        <v>0.42</v>
      </c>
      <c r="E13" s="7">
        <f t="shared" si="0"/>
        <v>0.42</v>
      </c>
      <c r="F13" s="8">
        <f t="shared" si="1"/>
        <v>1</v>
      </c>
      <c r="G13" s="9">
        <f t="shared" si="2"/>
        <v>0.42</v>
      </c>
    </row>
    <row r="14" spans="1:7" ht="12.75">
      <c r="A14" s="4" t="str">
        <f>+'Ind - Gross'!A14</f>
        <v>20 - 24</v>
      </c>
      <c r="B14" s="180" t="s">
        <v>122</v>
      </c>
      <c r="C14" s="7">
        <f>+'Company Data'!I21</f>
        <v>1000</v>
      </c>
      <c r="D14" s="61">
        <f>+'Group - Gross'!I14</f>
        <v>0.61</v>
      </c>
      <c r="E14" s="7">
        <f t="shared" si="0"/>
        <v>0.61</v>
      </c>
      <c r="F14" s="8">
        <f t="shared" si="1"/>
        <v>1</v>
      </c>
      <c r="G14" s="9">
        <f t="shared" si="2"/>
        <v>0.61</v>
      </c>
    </row>
    <row r="15" spans="1:7" ht="12.75">
      <c r="A15" s="4" t="str">
        <f>+'Ind - Gross'!A15</f>
        <v>25 - 29</v>
      </c>
      <c r="B15" s="180" t="s">
        <v>122</v>
      </c>
      <c r="C15" s="7">
        <f>+'Company Data'!I22</f>
        <v>1000</v>
      </c>
      <c r="D15" s="61">
        <f>+'Group - Gross'!I15</f>
        <v>0.89</v>
      </c>
      <c r="E15" s="7">
        <f t="shared" si="0"/>
        <v>0.89</v>
      </c>
      <c r="F15" s="8">
        <f t="shared" si="1"/>
        <v>1</v>
      </c>
      <c r="G15" s="9">
        <f t="shared" si="2"/>
        <v>0.89</v>
      </c>
    </row>
    <row r="16" spans="1:7" ht="12.75">
      <c r="A16" s="4" t="str">
        <f>+'Ind - Gross'!A16</f>
        <v>30 - 34</v>
      </c>
      <c r="B16" s="180" t="s">
        <v>122</v>
      </c>
      <c r="C16" s="7">
        <f>+'Company Data'!I23</f>
        <v>1000</v>
      </c>
      <c r="D16" s="61">
        <f>+'Group - Gross'!I16</f>
        <v>0.89</v>
      </c>
      <c r="E16" s="7">
        <f t="shared" si="0"/>
        <v>0.89</v>
      </c>
      <c r="F16" s="8">
        <f t="shared" si="1"/>
        <v>1</v>
      </c>
      <c r="G16" s="9">
        <f t="shared" si="2"/>
        <v>0.89</v>
      </c>
    </row>
    <row r="17" spans="1:7" ht="12.75">
      <c r="A17" s="4" t="str">
        <f>+'Ind - Gross'!A17</f>
        <v>35 - 39</v>
      </c>
      <c r="B17" s="180" t="s">
        <v>122</v>
      </c>
      <c r="C17" s="7">
        <f>+'Company Data'!I24</f>
        <v>1000</v>
      </c>
      <c r="D17" s="61">
        <f>+'Group - Gross'!I17</f>
        <v>0.52</v>
      </c>
      <c r="E17" s="7">
        <f t="shared" si="0"/>
        <v>0.52</v>
      </c>
      <c r="F17" s="8">
        <f t="shared" si="1"/>
        <v>1</v>
      </c>
      <c r="G17" s="9">
        <f t="shared" si="2"/>
        <v>0.52</v>
      </c>
    </row>
    <row r="18" spans="1:7" ht="12.75">
      <c r="A18" s="4" t="str">
        <f>+'Ind - Gross'!A18</f>
        <v>40 - 44</v>
      </c>
      <c r="B18" s="180" t="s">
        <v>122</v>
      </c>
      <c r="C18" s="7">
        <f>+'Company Data'!I25</f>
        <v>1000</v>
      </c>
      <c r="D18" s="61">
        <f>+'Group - Gross'!I18</f>
        <v>0.42</v>
      </c>
      <c r="E18" s="7">
        <f t="shared" si="0"/>
        <v>0.42</v>
      </c>
      <c r="F18" s="8">
        <f t="shared" si="1"/>
        <v>1</v>
      </c>
      <c r="G18" s="9">
        <f t="shared" si="2"/>
        <v>0.42</v>
      </c>
    </row>
    <row r="19" spans="1:7" ht="12.75">
      <c r="A19" s="4" t="str">
        <f>+'Ind - Gross'!A19</f>
        <v>45 - 49</v>
      </c>
      <c r="B19" s="180" t="s">
        <v>122</v>
      </c>
      <c r="C19" s="7">
        <f>+'Company Data'!I26</f>
        <v>1000</v>
      </c>
      <c r="D19" s="61">
        <f>+'Group - Gross'!I19</f>
        <v>0.33</v>
      </c>
      <c r="E19" s="7">
        <f t="shared" si="0"/>
        <v>0.33</v>
      </c>
      <c r="F19" s="8">
        <f t="shared" si="1"/>
        <v>1</v>
      </c>
      <c r="G19" s="9">
        <f t="shared" si="2"/>
        <v>0.33</v>
      </c>
    </row>
    <row r="20" spans="1:7" ht="12.75">
      <c r="A20" s="4" t="str">
        <f>+'Ind - Gross'!A20</f>
        <v>50 - 54</v>
      </c>
      <c r="B20" s="180" t="s">
        <v>122</v>
      </c>
      <c r="C20" s="7">
        <f>+'Company Data'!I27</f>
        <v>1000</v>
      </c>
      <c r="D20" s="61">
        <f>+'Group - Gross'!I20</f>
        <v>0.24</v>
      </c>
      <c r="E20" s="7">
        <f t="shared" si="0"/>
        <v>0.24</v>
      </c>
      <c r="F20" s="8">
        <f t="shared" si="1"/>
        <v>1</v>
      </c>
      <c r="G20" s="9">
        <f t="shared" si="2"/>
        <v>0.24</v>
      </c>
    </row>
    <row r="21" spans="1:7" ht="12.75">
      <c r="A21" s="4" t="str">
        <f>+'Ind - Gross'!A21</f>
        <v>55 - 59</v>
      </c>
      <c r="B21" s="180" t="s">
        <v>122</v>
      </c>
      <c r="C21" s="7">
        <f>+'Company Data'!I28</f>
        <v>1000</v>
      </c>
      <c r="D21" s="61">
        <f>+'Group - Gross'!I21</f>
        <v>0.19</v>
      </c>
      <c r="E21" s="7">
        <f t="shared" si="0"/>
        <v>0.19</v>
      </c>
      <c r="F21" s="8">
        <f t="shared" si="1"/>
        <v>1</v>
      </c>
      <c r="G21" s="9">
        <f t="shared" si="2"/>
        <v>0.19</v>
      </c>
    </row>
    <row r="22" spans="1:7" ht="12.75">
      <c r="A22" s="4" t="str">
        <f>+'Ind - Gross'!A22</f>
        <v>60 - 64</v>
      </c>
      <c r="B22" s="180" t="s">
        <v>122</v>
      </c>
      <c r="C22" s="7">
        <f>+'Company Data'!I29</f>
        <v>1000</v>
      </c>
      <c r="D22" s="61">
        <f>+'Group - Gross'!I22</f>
        <v>0.14</v>
      </c>
      <c r="E22" s="7">
        <f t="shared" si="0"/>
        <v>0.14</v>
      </c>
      <c r="F22" s="8">
        <f t="shared" si="1"/>
        <v>1</v>
      </c>
      <c r="G22" s="9">
        <f t="shared" si="2"/>
        <v>0.14</v>
      </c>
    </row>
    <row r="23" spans="1:7" ht="12.75">
      <c r="A23" s="4" t="str">
        <f>+'Ind - Gross'!A23</f>
        <v>65 - 69</v>
      </c>
      <c r="B23" s="180" t="s">
        <v>122</v>
      </c>
      <c r="C23" s="7">
        <f>+'Company Data'!I30</f>
        <v>1000</v>
      </c>
      <c r="D23" s="61">
        <f>+'Group - Gross'!I23</f>
        <v>0.09</v>
      </c>
      <c r="E23" s="7">
        <f t="shared" si="0"/>
        <v>0.09</v>
      </c>
      <c r="F23" s="8">
        <f t="shared" si="1"/>
        <v>1</v>
      </c>
      <c r="G23" s="9">
        <f t="shared" si="2"/>
        <v>0.09</v>
      </c>
    </row>
    <row r="24" spans="1:7" ht="12.75">
      <c r="A24" s="4" t="str">
        <f>+'Ind - Gross'!A24</f>
        <v>70 - 74</v>
      </c>
      <c r="B24" s="180" t="s">
        <v>122</v>
      </c>
      <c r="C24" s="7">
        <f>+'Company Data'!I31</f>
        <v>1000</v>
      </c>
      <c r="D24" s="61">
        <f>+'Group - Gross'!I24</f>
        <v>0.09</v>
      </c>
      <c r="E24" s="7">
        <f t="shared" si="0"/>
        <v>0.09</v>
      </c>
      <c r="F24" s="8">
        <f t="shared" si="1"/>
        <v>1</v>
      </c>
      <c r="G24" s="9">
        <f t="shared" si="2"/>
        <v>0.09</v>
      </c>
    </row>
    <row r="25" spans="1:7" ht="12.75">
      <c r="A25" s="47" t="str">
        <f>+'Ind - Gross'!A25</f>
        <v>75 - 79</v>
      </c>
      <c r="B25" s="180" t="s">
        <v>122</v>
      </c>
      <c r="C25" s="7">
        <f>+'Company Data'!I32</f>
        <v>1000</v>
      </c>
      <c r="D25" s="61">
        <f>+'Group - Gross'!I25</f>
        <v>0.05</v>
      </c>
      <c r="E25" s="7">
        <f t="shared" si="0"/>
        <v>0.05</v>
      </c>
      <c r="F25" s="8">
        <f t="shared" si="1"/>
        <v>1</v>
      </c>
      <c r="G25" s="9">
        <f t="shared" si="2"/>
        <v>0.05</v>
      </c>
    </row>
    <row r="26" spans="1:7" ht="12.75">
      <c r="A26" s="47" t="str">
        <f>+'Ind - Gross'!A26</f>
        <v>80 - 84</v>
      </c>
      <c r="B26" s="180" t="s">
        <v>122</v>
      </c>
      <c r="C26" s="7">
        <f>+'Company Data'!I33</f>
        <v>1000</v>
      </c>
      <c r="D26" s="61">
        <f>+'Group - Gross'!I26</f>
        <v>0.05</v>
      </c>
      <c r="E26" s="7">
        <f t="shared" si="0"/>
        <v>0.05</v>
      </c>
      <c r="F26" s="8">
        <f t="shared" si="1"/>
        <v>1</v>
      </c>
      <c r="G26" s="9">
        <f t="shared" si="2"/>
        <v>0.05</v>
      </c>
    </row>
    <row r="27" spans="1:7" ht="12.75">
      <c r="A27" s="74" t="str">
        <f>+'Ind - Gross'!A27</f>
        <v>85+</v>
      </c>
      <c r="B27" s="181" t="s">
        <v>122</v>
      </c>
      <c r="C27" s="52">
        <f>+'Company Data'!I34</f>
        <v>1000</v>
      </c>
      <c r="D27" s="75">
        <f>+'Group - Gross'!I27</f>
        <v>0.05</v>
      </c>
      <c r="E27" s="52">
        <f t="shared" si="0"/>
        <v>0.05</v>
      </c>
      <c r="F27" s="84">
        <f t="shared" si="1"/>
        <v>1</v>
      </c>
      <c r="G27" s="54">
        <f t="shared" si="2"/>
        <v>0.05</v>
      </c>
    </row>
    <row r="28" ht="6" customHeight="1"/>
    <row r="29" spans="1:7" ht="12.75">
      <c r="A29" s="12" t="s">
        <v>3</v>
      </c>
      <c r="B29" s="158"/>
      <c r="C29" s="7">
        <f>SUM(C10:C27)</f>
        <v>18000</v>
      </c>
      <c r="E29" s="9">
        <f>SUM(E10:E28)</f>
        <v>5.97</v>
      </c>
      <c r="G29" s="9">
        <f>SUM(G10:G28)</f>
        <v>5.97</v>
      </c>
    </row>
    <row r="32" ht="12.75">
      <c r="B32" s="130" t="s">
        <v>29</v>
      </c>
    </row>
    <row r="33" spans="1:6" ht="12.75">
      <c r="A33" s="56">
        <v>-1</v>
      </c>
      <c r="B33" s="3" t="s">
        <v>160</v>
      </c>
      <c r="F33" s="85"/>
    </row>
    <row r="34" spans="1:8" ht="12.75">
      <c r="A34" s="56">
        <v>-2</v>
      </c>
      <c r="B34" s="3" t="s">
        <v>117</v>
      </c>
      <c r="F34" s="7"/>
      <c r="H34" s="14"/>
    </row>
    <row r="35" spans="1:6" ht="12.75">
      <c r="A35" s="56">
        <v>-3</v>
      </c>
      <c r="B35" s="3" t="str">
        <f>'Group - Gross'!M1&amp;", Column 8"</f>
        <v> Exhibit 4, Page 3, Column 8</v>
      </c>
      <c r="F35" s="7"/>
    </row>
    <row r="36" spans="1:6" ht="12.75">
      <c r="A36" s="56">
        <v>-4</v>
      </c>
      <c r="B36" s="3" t="s">
        <v>91</v>
      </c>
      <c r="F36" s="7"/>
    </row>
    <row r="37" spans="1:2" ht="12.75">
      <c r="A37" s="56">
        <v>-5</v>
      </c>
      <c r="B37" s="3" t="str">
        <f>" "&amp;'Scenario Inputs'!$L$1&amp;", Entry 4"</f>
        <v> Exhibit 1, Page 1, Entry 4</v>
      </c>
    </row>
    <row r="38" spans="1:2" ht="12.75">
      <c r="A38" s="56">
        <v>-6</v>
      </c>
      <c r="B38" s="3" t="s">
        <v>36</v>
      </c>
    </row>
  </sheetData>
  <printOptions horizontalCentered="1"/>
  <pageMargins left="0.5" right="0.5" top="0.75" bottom="0.75" header="0.5" footer="0.35"/>
  <pageSetup horizontalDpi="600" verticalDpi="600" orientation="landscape" scale="94" r:id="rId1"/>
  <headerFooter alignWithMargins="0">
    <oddFooter>&amp;L&amp;8&amp;F  &amp;A&amp;C&amp;8MBA Actuaries, Inc.&amp;R&amp;8&amp;D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1.7109375" style="3" customWidth="1"/>
    <col min="3" max="3" width="9.8515625" style="3" customWidth="1"/>
    <col min="4" max="4" width="13.00390625" style="3" bestFit="1" customWidth="1"/>
    <col min="5" max="5" width="11.7109375" style="3" customWidth="1"/>
    <col min="6" max="6" width="16.7109375" style="3" customWidth="1"/>
    <col min="7" max="11" width="11.7109375" style="3" customWidth="1"/>
    <col min="12" max="12" width="15.57421875" style="3" customWidth="1"/>
    <col min="13" max="13" width="1.7109375" style="3" customWidth="1"/>
    <col min="14" max="14" width="17.7109375" style="3" bestFit="1" customWidth="1"/>
    <col min="15" max="15" width="15.00390625" style="3" bestFit="1" customWidth="1"/>
    <col min="16" max="16384" width="9.140625" style="3" customWidth="1"/>
  </cols>
  <sheetData>
    <row r="1" ht="12.75">
      <c r="M1" s="12" t="str">
        <f>+'Format Vars'!B13</f>
        <v> Exhibit 4, Page 3</v>
      </c>
    </row>
    <row r="2" spans="1:12" ht="18">
      <c r="A2" s="70" t="str">
        <f>"Gross Group Claims - "&amp;scenario</f>
        <v>Gross Group Claims - Moderate Scenario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68"/>
      <c r="H3" s="39"/>
      <c r="I3" s="39"/>
      <c r="J3" s="39"/>
      <c r="K3" s="39"/>
      <c r="L3" s="39"/>
    </row>
    <row r="4" ht="12.75">
      <c r="G4" s="40"/>
    </row>
    <row r="5" spans="4:11" ht="12.75">
      <c r="D5" s="4" t="s">
        <v>9</v>
      </c>
      <c r="G5" s="4" t="s">
        <v>0</v>
      </c>
      <c r="H5" s="4" t="s">
        <v>73</v>
      </c>
      <c r="I5" s="4" t="s">
        <v>70</v>
      </c>
      <c r="J5" s="4" t="s">
        <v>24</v>
      </c>
      <c r="K5" s="4" t="s">
        <v>12</v>
      </c>
    </row>
    <row r="6" spans="2:13" ht="12.75">
      <c r="B6" s="4" t="s">
        <v>68</v>
      </c>
      <c r="C6" s="4" t="s">
        <v>27</v>
      </c>
      <c r="D6" s="4" t="s">
        <v>21</v>
      </c>
      <c r="E6" s="4" t="s">
        <v>13</v>
      </c>
      <c r="F6" s="4" t="s">
        <v>14</v>
      </c>
      <c r="G6" s="39" t="s">
        <v>56</v>
      </c>
      <c r="H6" s="4" t="s">
        <v>71</v>
      </c>
      <c r="I6" s="39" t="s">
        <v>56</v>
      </c>
      <c r="J6" s="4" t="s">
        <v>0</v>
      </c>
      <c r="K6" s="4" t="s">
        <v>0</v>
      </c>
      <c r="L6" s="4" t="s">
        <v>20</v>
      </c>
      <c r="M6" s="4"/>
    </row>
    <row r="7" spans="2:13" ht="12.75">
      <c r="B7" s="4" t="s">
        <v>0</v>
      </c>
      <c r="C7" s="4" t="s">
        <v>58</v>
      </c>
      <c r="D7" s="4" t="s">
        <v>22</v>
      </c>
      <c r="E7" s="4" t="s">
        <v>1</v>
      </c>
      <c r="F7" s="4" t="s">
        <v>23</v>
      </c>
      <c r="G7" s="4" t="s">
        <v>57</v>
      </c>
      <c r="H7" s="4" t="s">
        <v>74</v>
      </c>
      <c r="I7" s="4" t="s">
        <v>57</v>
      </c>
      <c r="J7" s="4" t="s">
        <v>56</v>
      </c>
      <c r="K7" s="4" t="s">
        <v>56</v>
      </c>
      <c r="L7" s="4" t="s">
        <v>2</v>
      </c>
      <c r="M7" s="4"/>
    </row>
    <row r="8" spans="1:13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f aca="true" t="shared" si="0" ref="G8:L8">+F8-1</f>
        <v>-6</v>
      </c>
      <c r="H8" s="48">
        <f t="shared" si="0"/>
        <v>-7</v>
      </c>
      <c r="I8" s="48">
        <f t="shared" si="0"/>
        <v>-8</v>
      </c>
      <c r="J8" s="48">
        <f t="shared" si="0"/>
        <v>-9</v>
      </c>
      <c r="K8" s="48">
        <f t="shared" si="0"/>
        <v>-10</v>
      </c>
      <c r="L8" s="48">
        <f t="shared" si="0"/>
        <v>-11</v>
      </c>
      <c r="M8" s="4"/>
    </row>
    <row r="9" spans="2:13" ht="7.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"/>
    </row>
    <row r="10" spans="1:16" ht="12.75">
      <c r="A10" s="151" t="str">
        <f>+'Scenario Inputs'!A21</f>
        <v>0 - 4</v>
      </c>
      <c r="B10" s="5">
        <f>+'Scenario Inputs'!B21</f>
        <v>20071268</v>
      </c>
      <c r="C10" s="176" t="s">
        <v>122</v>
      </c>
      <c r="D10" s="7">
        <f>+'Company Data'!G17</f>
        <v>1000</v>
      </c>
      <c r="E10" s="7">
        <f>+'Company Data'!H17</f>
        <v>1000</v>
      </c>
      <c r="F10" s="7">
        <f aca="true" t="shared" si="1" ref="F10:F27">E10*D10</f>
        <v>1000000</v>
      </c>
      <c r="G10" s="13">
        <f>+'Scenario Inputs'!C21</f>
        <v>1.237</v>
      </c>
      <c r="H10" s="8">
        <f aca="true" t="shared" si="2" ref="H10:H27">InsMort</f>
        <v>0.571</v>
      </c>
      <c r="I10" s="13">
        <f aca="true" t="shared" si="3" ref="I10:I27">ROUND(H10*G10,2)</f>
        <v>0.71</v>
      </c>
      <c r="J10" s="7">
        <f aca="true" t="shared" si="4" ref="J10:J27">+G10*B10/1000</f>
        <v>24828.158516000003</v>
      </c>
      <c r="K10" s="7">
        <f aca="true" t="shared" si="5" ref="K10:K27">+D10*I10/1000</f>
        <v>0.71</v>
      </c>
      <c r="L10" s="9">
        <f aca="true" t="shared" si="6" ref="L10:L27">+E10*K10</f>
        <v>710</v>
      </c>
      <c r="N10" s="160"/>
      <c r="O10" s="157"/>
      <c r="P10" s="157"/>
    </row>
    <row r="11" spans="1:16" ht="12.75">
      <c r="A11" s="151" t="str">
        <f>+'Scenario Inputs'!A22</f>
        <v>5 - 9</v>
      </c>
      <c r="B11" s="5">
        <f>+'Scenario Inputs'!B22</f>
        <v>19605572</v>
      </c>
      <c r="C11" s="176" t="s">
        <v>122</v>
      </c>
      <c r="D11" s="7">
        <f>+'Company Data'!G18</f>
        <v>1000</v>
      </c>
      <c r="E11" s="7">
        <f>+'Company Data'!H18</f>
        <v>1000</v>
      </c>
      <c r="F11" s="7">
        <f t="shared" si="1"/>
        <v>1000000</v>
      </c>
      <c r="G11" s="13">
        <f>+'Scenario Inputs'!C22</f>
        <v>0.247</v>
      </c>
      <c r="H11" s="8">
        <f t="shared" si="2"/>
        <v>0.571</v>
      </c>
      <c r="I11" s="13">
        <f t="shared" si="3"/>
        <v>0.14</v>
      </c>
      <c r="J11" s="7">
        <f t="shared" si="4"/>
        <v>4842.576284</v>
      </c>
      <c r="K11" s="7">
        <f t="shared" si="5"/>
        <v>0.14</v>
      </c>
      <c r="L11" s="9">
        <f t="shared" si="6"/>
        <v>140</v>
      </c>
      <c r="N11" s="160"/>
      <c r="O11" s="157"/>
      <c r="P11" s="157"/>
    </row>
    <row r="12" spans="1:16" ht="12.75">
      <c r="A12" s="151" t="str">
        <f>+'Scenario Inputs'!A23</f>
        <v>10 - 14</v>
      </c>
      <c r="B12" s="5">
        <f>+'Scenario Inputs'!B23</f>
        <v>21145156</v>
      </c>
      <c r="C12" s="176" t="s">
        <v>122</v>
      </c>
      <c r="D12" s="7">
        <f>+'Company Data'!G19</f>
        <v>1000</v>
      </c>
      <c r="E12" s="7">
        <f>+'Company Data'!H19</f>
        <v>1000</v>
      </c>
      <c r="F12" s="7">
        <f t="shared" si="1"/>
        <v>1000000</v>
      </c>
      <c r="G12" s="13">
        <f>+'Scenario Inputs'!C23</f>
        <v>0.247</v>
      </c>
      <c r="H12" s="8">
        <f t="shared" si="2"/>
        <v>0.571</v>
      </c>
      <c r="I12" s="13">
        <f t="shared" si="3"/>
        <v>0.14</v>
      </c>
      <c r="J12" s="7">
        <f t="shared" si="4"/>
        <v>5222.853532</v>
      </c>
      <c r="K12" s="7">
        <f t="shared" si="5"/>
        <v>0.14</v>
      </c>
      <c r="L12" s="9">
        <f t="shared" si="6"/>
        <v>140</v>
      </c>
      <c r="N12" s="160"/>
      <c r="O12" s="157"/>
      <c r="P12" s="157"/>
    </row>
    <row r="13" spans="1:16" ht="12.75">
      <c r="A13" s="151" t="str">
        <f>+'Scenario Inputs'!A24</f>
        <v>15 - 19</v>
      </c>
      <c r="B13" s="5">
        <f>+'Scenario Inputs'!B24</f>
        <v>20729802</v>
      </c>
      <c r="C13" s="176" t="s">
        <v>122</v>
      </c>
      <c r="D13" s="7">
        <f>+'Company Data'!G20</f>
        <v>1000</v>
      </c>
      <c r="E13" s="7">
        <f>+'Company Data'!H20</f>
        <v>1000</v>
      </c>
      <c r="F13" s="7">
        <f t="shared" si="1"/>
        <v>1000000</v>
      </c>
      <c r="G13" s="13">
        <f>+'Scenario Inputs'!C24</f>
        <v>0.742</v>
      </c>
      <c r="H13" s="8">
        <f t="shared" si="2"/>
        <v>0.571</v>
      </c>
      <c r="I13" s="13">
        <f t="shared" si="3"/>
        <v>0.42</v>
      </c>
      <c r="J13" s="7">
        <f t="shared" si="4"/>
        <v>15381.513084</v>
      </c>
      <c r="K13" s="7">
        <f t="shared" si="5"/>
        <v>0.42</v>
      </c>
      <c r="L13" s="9">
        <f t="shared" si="6"/>
        <v>420</v>
      </c>
      <c r="N13" s="160"/>
      <c r="O13" s="157"/>
      <c r="P13" s="157"/>
    </row>
    <row r="14" spans="1:16" ht="12.75">
      <c r="A14" s="151" t="str">
        <f>+'Scenario Inputs'!A25</f>
        <v>20 - 24</v>
      </c>
      <c r="B14" s="5">
        <f>+'Scenario Inputs'!B25</f>
        <v>20971302</v>
      </c>
      <c r="C14" s="176" t="s">
        <v>122</v>
      </c>
      <c r="D14" s="7">
        <f>+'Company Data'!G21</f>
        <v>1000</v>
      </c>
      <c r="E14" s="7">
        <f>+'Company Data'!H21</f>
        <v>1000</v>
      </c>
      <c r="F14" s="7">
        <f t="shared" si="1"/>
        <v>1000000</v>
      </c>
      <c r="G14" s="13">
        <f>+'Scenario Inputs'!C25</f>
        <v>1.072</v>
      </c>
      <c r="H14" s="8">
        <f t="shared" si="2"/>
        <v>0.571</v>
      </c>
      <c r="I14" s="13">
        <f t="shared" si="3"/>
        <v>0.61</v>
      </c>
      <c r="J14" s="7">
        <f t="shared" si="4"/>
        <v>22481.235744</v>
      </c>
      <c r="K14" s="7">
        <f t="shared" si="5"/>
        <v>0.61</v>
      </c>
      <c r="L14" s="9">
        <f t="shared" si="6"/>
        <v>610</v>
      </c>
      <c r="N14" s="160"/>
      <c r="O14" s="157"/>
      <c r="P14" s="157"/>
    </row>
    <row r="15" spans="1:16" ht="12.75">
      <c r="A15" s="151" t="str">
        <f>+'Scenario Inputs'!A26</f>
        <v>25 - 29</v>
      </c>
      <c r="B15" s="5">
        <f>+'Scenario Inputs'!B26</f>
        <v>19560906</v>
      </c>
      <c r="C15" s="176" t="s">
        <v>122</v>
      </c>
      <c r="D15" s="7">
        <f>+'Company Data'!G22</f>
        <v>1000</v>
      </c>
      <c r="E15" s="7">
        <f>+'Company Data'!H22</f>
        <v>1000</v>
      </c>
      <c r="F15" s="7">
        <f t="shared" si="1"/>
        <v>1000000</v>
      </c>
      <c r="G15" s="13">
        <f>+'Scenario Inputs'!C26</f>
        <v>1.567</v>
      </c>
      <c r="H15" s="8">
        <f t="shared" si="2"/>
        <v>0.571</v>
      </c>
      <c r="I15" s="13">
        <f t="shared" si="3"/>
        <v>0.89</v>
      </c>
      <c r="J15" s="7">
        <f t="shared" si="4"/>
        <v>30651.939702</v>
      </c>
      <c r="K15" s="7">
        <f t="shared" si="5"/>
        <v>0.89</v>
      </c>
      <c r="L15" s="9">
        <f t="shared" si="6"/>
        <v>890</v>
      </c>
      <c r="N15" s="160"/>
      <c r="O15" s="157"/>
      <c r="P15" s="157"/>
    </row>
    <row r="16" spans="1:16" ht="12.75">
      <c r="A16" s="151" t="str">
        <f>+'Scenario Inputs'!A27</f>
        <v>30 - 34</v>
      </c>
      <c r="B16" s="5">
        <f>+'Scenario Inputs'!B27</f>
        <v>20471032</v>
      </c>
      <c r="C16" s="176" t="s">
        <v>122</v>
      </c>
      <c r="D16" s="7">
        <f>+'Company Data'!G23</f>
        <v>1000</v>
      </c>
      <c r="E16" s="7">
        <f>+'Company Data'!H23</f>
        <v>1000</v>
      </c>
      <c r="F16" s="7">
        <f t="shared" si="1"/>
        <v>1000000</v>
      </c>
      <c r="G16" s="13">
        <f>+'Scenario Inputs'!C27</f>
        <v>1.567</v>
      </c>
      <c r="H16" s="8">
        <f t="shared" si="2"/>
        <v>0.571</v>
      </c>
      <c r="I16" s="13">
        <f t="shared" si="3"/>
        <v>0.89</v>
      </c>
      <c r="J16" s="7">
        <f t="shared" si="4"/>
        <v>32078.107143999998</v>
      </c>
      <c r="K16" s="7">
        <f t="shared" si="5"/>
        <v>0.89</v>
      </c>
      <c r="L16" s="9">
        <f t="shared" si="6"/>
        <v>890</v>
      </c>
      <c r="N16" s="160"/>
      <c r="O16" s="157"/>
      <c r="P16" s="157"/>
    </row>
    <row r="17" spans="1:16" ht="12.75">
      <c r="A17" s="151" t="str">
        <f>+'Scenario Inputs'!A28</f>
        <v>35 - 39</v>
      </c>
      <c r="B17" s="5">
        <f>+'Scenario Inputs'!B28</f>
        <v>21052318</v>
      </c>
      <c r="C17" s="176" t="s">
        <v>122</v>
      </c>
      <c r="D17" s="7">
        <f>+'Company Data'!G24</f>
        <v>1000</v>
      </c>
      <c r="E17" s="7">
        <f>+'Company Data'!H24</f>
        <v>1000</v>
      </c>
      <c r="F17" s="7">
        <f t="shared" si="1"/>
        <v>1000000</v>
      </c>
      <c r="G17" s="13">
        <f>+'Scenario Inputs'!C28</f>
        <v>0.907</v>
      </c>
      <c r="H17" s="8">
        <f t="shared" si="2"/>
        <v>0.571</v>
      </c>
      <c r="I17" s="13">
        <f t="shared" si="3"/>
        <v>0.52</v>
      </c>
      <c r="J17" s="7">
        <f t="shared" si="4"/>
        <v>19094.452426</v>
      </c>
      <c r="K17" s="7">
        <f t="shared" si="5"/>
        <v>0.52</v>
      </c>
      <c r="L17" s="9">
        <f t="shared" si="6"/>
        <v>520</v>
      </c>
      <c r="N17" s="160"/>
      <c r="O17" s="157"/>
      <c r="P17" s="157"/>
    </row>
    <row r="18" spans="1:16" ht="12.75">
      <c r="A18" s="151" t="str">
        <f>+'Scenario Inputs'!A29</f>
        <v>40 - 44</v>
      </c>
      <c r="B18" s="5">
        <f>+'Scenario Inputs'!B29</f>
        <v>23056334</v>
      </c>
      <c r="C18" s="176" t="s">
        <v>122</v>
      </c>
      <c r="D18" s="7">
        <f>+'Company Data'!G25</f>
        <v>1000</v>
      </c>
      <c r="E18" s="7">
        <f>+'Company Data'!H25</f>
        <v>1000</v>
      </c>
      <c r="F18" s="7">
        <f t="shared" si="1"/>
        <v>1000000</v>
      </c>
      <c r="G18" s="13">
        <f>+'Scenario Inputs'!C29</f>
        <v>0.742</v>
      </c>
      <c r="H18" s="8">
        <f t="shared" si="2"/>
        <v>0.571</v>
      </c>
      <c r="I18" s="13">
        <f t="shared" si="3"/>
        <v>0.42</v>
      </c>
      <c r="J18" s="7">
        <f t="shared" si="4"/>
        <v>17107.799828000003</v>
      </c>
      <c r="K18" s="7">
        <f t="shared" si="5"/>
        <v>0.42</v>
      </c>
      <c r="L18" s="9">
        <f t="shared" si="6"/>
        <v>420</v>
      </c>
      <c r="N18" s="160"/>
      <c r="O18" s="157"/>
      <c r="P18" s="157"/>
    </row>
    <row r="19" spans="1:16" ht="12.75">
      <c r="A19" s="151" t="str">
        <f>+'Scenario Inputs'!A30</f>
        <v>45 - 49</v>
      </c>
      <c r="B19" s="5">
        <f>+'Scenario Inputs'!B30</f>
        <v>22122629</v>
      </c>
      <c r="C19" s="176" t="s">
        <v>122</v>
      </c>
      <c r="D19" s="7">
        <f>+'Company Data'!G26</f>
        <v>1000</v>
      </c>
      <c r="E19" s="7">
        <f>+'Company Data'!H26</f>
        <v>1000</v>
      </c>
      <c r="F19" s="7">
        <f t="shared" si="1"/>
        <v>1000000</v>
      </c>
      <c r="G19" s="13">
        <f>+'Scenario Inputs'!C30</f>
        <v>0.577</v>
      </c>
      <c r="H19" s="8">
        <f t="shared" si="2"/>
        <v>0.571</v>
      </c>
      <c r="I19" s="13">
        <f t="shared" si="3"/>
        <v>0.33</v>
      </c>
      <c r="J19" s="7">
        <f t="shared" si="4"/>
        <v>12764.756932999999</v>
      </c>
      <c r="K19" s="7">
        <f t="shared" si="5"/>
        <v>0.33</v>
      </c>
      <c r="L19" s="9">
        <f t="shared" si="6"/>
        <v>330</v>
      </c>
      <c r="N19" s="160"/>
      <c r="O19" s="157"/>
      <c r="P19" s="157"/>
    </row>
    <row r="20" spans="1:16" ht="12.75">
      <c r="A20" s="151" t="str">
        <f>+'Scenario Inputs'!A31</f>
        <v>50 - 54</v>
      </c>
      <c r="B20" s="5">
        <f>+'Scenario Inputs'!B31</f>
        <v>19496176</v>
      </c>
      <c r="C20" s="176" t="s">
        <v>122</v>
      </c>
      <c r="D20" s="7">
        <f>+'Company Data'!G27</f>
        <v>1000</v>
      </c>
      <c r="E20" s="7">
        <f>+'Company Data'!H27</f>
        <v>1000</v>
      </c>
      <c r="F20" s="7">
        <f t="shared" si="1"/>
        <v>1000000</v>
      </c>
      <c r="G20" s="13">
        <f>+'Scenario Inputs'!C31</f>
        <v>0.412</v>
      </c>
      <c r="H20" s="8">
        <f t="shared" si="2"/>
        <v>0.571</v>
      </c>
      <c r="I20" s="13">
        <f t="shared" si="3"/>
        <v>0.24</v>
      </c>
      <c r="J20" s="7">
        <f t="shared" si="4"/>
        <v>8032.424512</v>
      </c>
      <c r="K20" s="7">
        <f t="shared" si="5"/>
        <v>0.24</v>
      </c>
      <c r="L20" s="9">
        <f t="shared" si="6"/>
        <v>240</v>
      </c>
      <c r="N20" s="160"/>
      <c r="O20" s="157"/>
      <c r="P20" s="157"/>
    </row>
    <row r="21" spans="1:16" ht="12.75">
      <c r="A21" s="151" t="str">
        <f>+'Scenario Inputs'!A32</f>
        <v>55 - 59</v>
      </c>
      <c r="B21" s="5">
        <f>+'Scenario Inputs'!B32</f>
        <v>16489501</v>
      </c>
      <c r="C21" s="176" t="s">
        <v>122</v>
      </c>
      <c r="D21" s="7">
        <f>+'Company Data'!G28</f>
        <v>1000</v>
      </c>
      <c r="E21" s="7">
        <f>+'Company Data'!H28</f>
        <v>1000</v>
      </c>
      <c r="F21" s="7">
        <f t="shared" si="1"/>
        <v>1000000</v>
      </c>
      <c r="G21" s="13">
        <f>+'Scenario Inputs'!C32</f>
        <v>0.33</v>
      </c>
      <c r="H21" s="8">
        <f t="shared" si="2"/>
        <v>0.571</v>
      </c>
      <c r="I21" s="13">
        <f t="shared" si="3"/>
        <v>0.19</v>
      </c>
      <c r="J21" s="7">
        <f t="shared" si="4"/>
        <v>5441.53533</v>
      </c>
      <c r="K21" s="7">
        <f t="shared" si="5"/>
        <v>0.19</v>
      </c>
      <c r="L21" s="9">
        <f t="shared" si="6"/>
        <v>190</v>
      </c>
      <c r="N21" s="160"/>
      <c r="O21" s="157"/>
      <c r="P21" s="157"/>
    </row>
    <row r="22" spans="1:16" ht="12.75">
      <c r="A22" s="151" t="str">
        <f>+'Scenario Inputs'!A33</f>
        <v>60 - 64</v>
      </c>
      <c r="B22" s="5">
        <f>+'Scenario Inputs'!B33</f>
        <v>12589423</v>
      </c>
      <c r="C22" s="176" t="s">
        <v>122</v>
      </c>
      <c r="D22" s="7">
        <f>+'Company Data'!G29</f>
        <v>1000</v>
      </c>
      <c r="E22" s="7">
        <f>+'Company Data'!H29</f>
        <v>1000</v>
      </c>
      <c r="F22" s="7">
        <f t="shared" si="1"/>
        <v>1000000</v>
      </c>
      <c r="G22" s="13">
        <f>+'Scenario Inputs'!C33</f>
        <v>0.247</v>
      </c>
      <c r="H22" s="8">
        <f t="shared" si="2"/>
        <v>0.571</v>
      </c>
      <c r="I22" s="13">
        <f t="shared" si="3"/>
        <v>0.14</v>
      </c>
      <c r="J22" s="7">
        <f t="shared" si="4"/>
        <v>3109.587481</v>
      </c>
      <c r="K22" s="7">
        <f t="shared" si="5"/>
        <v>0.14</v>
      </c>
      <c r="L22" s="9">
        <f t="shared" si="6"/>
        <v>140</v>
      </c>
      <c r="N22" s="160"/>
      <c r="O22" s="157"/>
      <c r="P22" s="157"/>
    </row>
    <row r="23" spans="1:16" ht="12.75">
      <c r="A23" s="151" t="str">
        <f>+'Scenario Inputs'!A34</f>
        <v>65 - 69</v>
      </c>
      <c r="B23" s="5">
        <f>+'Scenario Inputs'!B34</f>
        <v>9956467</v>
      </c>
      <c r="C23" s="176" t="s">
        <v>122</v>
      </c>
      <c r="D23" s="7">
        <f>+'Company Data'!G30</f>
        <v>1000</v>
      </c>
      <c r="E23" s="7">
        <f>+'Company Data'!H30</f>
        <v>1000</v>
      </c>
      <c r="F23" s="7">
        <f t="shared" si="1"/>
        <v>1000000</v>
      </c>
      <c r="G23" s="13">
        <f>+'Scenario Inputs'!C34</f>
        <v>0.165</v>
      </c>
      <c r="H23" s="8">
        <f t="shared" si="2"/>
        <v>0.571</v>
      </c>
      <c r="I23" s="13">
        <f t="shared" si="3"/>
        <v>0.09</v>
      </c>
      <c r="J23" s="7">
        <f t="shared" si="4"/>
        <v>1642.8170550000002</v>
      </c>
      <c r="K23" s="7">
        <f t="shared" si="5"/>
        <v>0.09</v>
      </c>
      <c r="L23" s="9">
        <f t="shared" si="6"/>
        <v>90</v>
      </c>
      <c r="N23" s="160"/>
      <c r="O23" s="157"/>
      <c r="P23" s="157"/>
    </row>
    <row r="24" spans="1:16" ht="12.75">
      <c r="A24" s="151" t="str">
        <f>+'Scenario Inputs'!A35</f>
        <v>70 - 74</v>
      </c>
      <c r="B24" s="5">
        <f>+'Scenario Inputs'!B35</f>
        <v>8507005</v>
      </c>
      <c r="C24" s="176" t="s">
        <v>122</v>
      </c>
      <c r="D24" s="7">
        <f>+'Company Data'!G31</f>
        <v>1000</v>
      </c>
      <c r="E24" s="7">
        <f>+'Company Data'!H31</f>
        <v>1000</v>
      </c>
      <c r="F24" s="7">
        <f t="shared" si="1"/>
        <v>1000000</v>
      </c>
      <c r="G24" s="13">
        <f>+'Scenario Inputs'!C35</f>
        <v>0.165</v>
      </c>
      <c r="H24" s="8">
        <f t="shared" si="2"/>
        <v>0.571</v>
      </c>
      <c r="I24" s="13">
        <f t="shared" si="3"/>
        <v>0.09</v>
      </c>
      <c r="J24" s="7">
        <f t="shared" si="4"/>
        <v>1403.655825</v>
      </c>
      <c r="K24" s="7">
        <f t="shared" si="5"/>
        <v>0.09</v>
      </c>
      <c r="L24" s="9">
        <f t="shared" si="6"/>
        <v>90</v>
      </c>
      <c r="N24" s="160"/>
      <c r="O24" s="157"/>
      <c r="P24" s="157"/>
    </row>
    <row r="25" spans="1:16" ht="12.75">
      <c r="A25" s="151" t="str">
        <f>+'Scenario Inputs'!A36</f>
        <v>75 - 79</v>
      </c>
      <c r="B25" s="5">
        <f>+'Scenario Inputs'!B36</f>
        <v>7410757</v>
      </c>
      <c r="C25" s="176" t="s">
        <v>122</v>
      </c>
      <c r="D25" s="7">
        <f>+'Company Data'!G32</f>
        <v>1000</v>
      </c>
      <c r="E25" s="7">
        <f>+'Company Data'!H32</f>
        <v>1000</v>
      </c>
      <c r="F25" s="7">
        <f t="shared" si="1"/>
        <v>1000000</v>
      </c>
      <c r="G25" s="13">
        <f>+'Scenario Inputs'!C36</f>
        <v>0.082</v>
      </c>
      <c r="H25" s="8">
        <f t="shared" si="2"/>
        <v>0.571</v>
      </c>
      <c r="I25" s="13">
        <f t="shared" si="3"/>
        <v>0.05</v>
      </c>
      <c r="J25" s="7">
        <f t="shared" si="4"/>
        <v>607.6820740000001</v>
      </c>
      <c r="K25" s="7">
        <f t="shared" si="5"/>
        <v>0.05</v>
      </c>
      <c r="L25" s="9">
        <f t="shared" si="6"/>
        <v>50</v>
      </c>
      <c r="N25" s="160"/>
      <c r="O25" s="157"/>
      <c r="P25" s="157"/>
    </row>
    <row r="26" spans="1:16" ht="12.75">
      <c r="A26" s="151" t="str">
        <f>+'Scenario Inputs'!A37</f>
        <v>80 - 84</v>
      </c>
      <c r="B26" s="5">
        <f>+'Scenario Inputs'!B37</f>
        <v>5560125</v>
      </c>
      <c r="C26" s="176" t="s">
        <v>122</v>
      </c>
      <c r="D26" s="7">
        <f>+'Company Data'!G33</f>
        <v>1000</v>
      </c>
      <c r="E26" s="7">
        <f>+'Company Data'!H33</f>
        <v>1000</v>
      </c>
      <c r="F26" s="7">
        <f>E26*D26</f>
        <v>1000000</v>
      </c>
      <c r="G26" s="13">
        <f>+'Scenario Inputs'!C37</f>
        <v>0.082</v>
      </c>
      <c r="H26" s="8">
        <f t="shared" si="2"/>
        <v>0.571</v>
      </c>
      <c r="I26" s="13">
        <f t="shared" si="3"/>
        <v>0.05</v>
      </c>
      <c r="J26" s="7">
        <f t="shared" si="4"/>
        <v>455.93025</v>
      </c>
      <c r="K26" s="7">
        <f t="shared" si="5"/>
        <v>0.05</v>
      </c>
      <c r="L26" s="9">
        <f>+E26*K26</f>
        <v>50</v>
      </c>
      <c r="N26" s="160"/>
      <c r="O26" s="157"/>
      <c r="P26" s="157"/>
    </row>
    <row r="27" spans="1:16" ht="12.75">
      <c r="A27" s="50" t="str">
        <f>+'Scenario Inputs'!A38</f>
        <v>85+</v>
      </c>
      <c r="B27" s="51">
        <f>+'Scenario Inputs'!B38</f>
        <v>4859631</v>
      </c>
      <c r="C27" s="177" t="s">
        <v>122</v>
      </c>
      <c r="D27" s="52">
        <f>+'Company Data'!G34</f>
        <v>1000</v>
      </c>
      <c r="E27" s="52">
        <f>+'Company Data'!H34</f>
        <v>1000</v>
      </c>
      <c r="F27" s="52">
        <f t="shared" si="1"/>
        <v>1000000</v>
      </c>
      <c r="G27" s="66">
        <f>+'Scenario Inputs'!C38</f>
        <v>0.082</v>
      </c>
      <c r="H27" s="84">
        <f t="shared" si="2"/>
        <v>0.571</v>
      </c>
      <c r="I27" s="66">
        <f t="shared" si="3"/>
        <v>0.05</v>
      </c>
      <c r="J27" s="52">
        <f t="shared" si="4"/>
        <v>398.48974200000004</v>
      </c>
      <c r="K27" s="52">
        <f t="shared" si="5"/>
        <v>0.05</v>
      </c>
      <c r="L27" s="54">
        <f t="shared" si="6"/>
        <v>50</v>
      </c>
      <c r="N27" s="160"/>
      <c r="O27" s="157"/>
      <c r="P27" s="157"/>
    </row>
    <row r="28" spans="1:12" ht="4.5" customHeight="1">
      <c r="A28" s="47"/>
      <c r="B28" s="5"/>
      <c r="C28" s="6"/>
      <c r="D28" s="7"/>
      <c r="E28" s="41"/>
      <c r="F28" s="7"/>
      <c r="G28" s="15"/>
      <c r="H28" s="7"/>
      <c r="I28" s="7"/>
      <c r="J28" s="7"/>
      <c r="K28" s="7"/>
      <c r="L28" s="9"/>
    </row>
    <row r="29" spans="1:14" ht="12.75">
      <c r="A29" s="12"/>
      <c r="B29" s="5">
        <f>SUM(B10:B27)</f>
        <v>293655404</v>
      </c>
      <c r="D29" s="63">
        <f>SUM(D10:D27)</f>
        <v>18000</v>
      </c>
      <c r="F29" s="63">
        <f>SUM(F10:F27)</f>
        <v>18000000</v>
      </c>
      <c r="H29" s="7"/>
      <c r="I29" s="7"/>
      <c r="J29" s="7">
        <f>SUM(J10:J27)</f>
        <v>205545.515462</v>
      </c>
      <c r="K29" s="9">
        <f>SUM(K10:K27)</f>
        <v>5.97</v>
      </c>
      <c r="L29" s="150">
        <f>SUM(L10:L27)</f>
        <v>5970</v>
      </c>
      <c r="N29" s="14"/>
    </row>
    <row r="30" spans="7:12" ht="8.25" customHeight="1">
      <c r="G30" s="69"/>
      <c r="L30" s="11"/>
    </row>
    <row r="31" spans="4:12" ht="12.75">
      <c r="D31" s="6"/>
      <c r="H31" s="161"/>
      <c r="I31" s="69" t="s">
        <v>37</v>
      </c>
      <c r="J31" s="144">
        <f>1000*J29/B29</f>
        <v>0.6999548200447897</v>
      </c>
      <c r="K31" s="145">
        <f>1000*K29/D29</f>
        <v>0.33166666666666667</v>
      </c>
      <c r="L31" s="146">
        <f>1000*L29/F29</f>
        <v>0.33166666666666667</v>
      </c>
    </row>
    <row r="32" spans="5:12" ht="4.5" customHeight="1">
      <c r="E32" s="69"/>
      <c r="F32" s="7"/>
      <c r="H32" s="65"/>
      <c r="I32" s="69"/>
      <c r="J32" s="65"/>
      <c r="K32" s="65"/>
      <c r="L32" s="4"/>
    </row>
    <row r="33" spans="1:12" ht="12.75">
      <c r="A33" s="38"/>
      <c r="B33" s="98"/>
      <c r="C33" s="98"/>
      <c r="D33" s="98"/>
      <c r="E33" s="69" t="s">
        <v>30</v>
      </c>
      <c r="F33" s="7">
        <f>+F29/D29</f>
        <v>1000</v>
      </c>
      <c r="G33" s="163"/>
      <c r="H33" s="147"/>
      <c r="I33" s="69" t="s">
        <v>62</v>
      </c>
      <c r="J33" s="147">
        <f>SUM(J10:J13)/J29</f>
        <v>0.2445935213083963</v>
      </c>
      <c r="K33" s="147">
        <f>SUM(K10:K13)/K29</f>
        <v>0.23618090452261306</v>
      </c>
      <c r="L33" s="147">
        <f>SUM(L10:L13)/L29</f>
        <v>0.23618090452261306</v>
      </c>
    </row>
    <row r="34" spans="3:12" ht="12.75">
      <c r="C34" s="157"/>
      <c r="D34" s="157"/>
      <c r="E34" s="69" t="str">
        <f>"Net Amount Inforce "&amp;ScaleW</f>
        <v>Net Amount Inforce (millions)</v>
      </c>
      <c r="F34" s="9">
        <f>(F29-'Group - Reins'!ReinsCeded)/Scale</f>
        <v>17.982</v>
      </c>
      <c r="H34" s="162"/>
      <c r="I34" s="69" t="s">
        <v>63</v>
      </c>
      <c r="J34" s="148">
        <f>SUM(J14:J22)/J29</f>
        <v>0.7334717994753427</v>
      </c>
      <c r="K34" s="148">
        <f>SUM(K14:K22)/K29</f>
        <v>0.7085427135678393</v>
      </c>
      <c r="L34" s="148">
        <f>SUM(L14:L22)/L29</f>
        <v>0.7085427135678392</v>
      </c>
    </row>
    <row r="35" spans="4:12" ht="12.75">
      <c r="D35" s="63"/>
      <c r="E35" s="69"/>
      <c r="F35" s="98"/>
      <c r="H35" s="149"/>
      <c r="I35" s="69" t="s">
        <v>64</v>
      </c>
      <c r="J35" s="149">
        <f>SUM(J23:J27)/J29</f>
        <v>0.021934679216261074</v>
      </c>
      <c r="K35" s="149">
        <f>SUM(K23:K27)/K29</f>
        <v>0.055276381909547735</v>
      </c>
      <c r="L35" s="149">
        <f>SUM(L23:L27)/L29</f>
        <v>0.05527638190954774</v>
      </c>
    </row>
    <row r="36" spans="4:12" ht="12.75">
      <c r="D36" s="63"/>
      <c r="E36" s="69"/>
      <c r="F36" s="98"/>
      <c r="H36" s="149"/>
      <c r="I36" s="69"/>
      <c r="J36" s="149"/>
      <c r="K36" s="149"/>
      <c r="L36" s="149"/>
    </row>
    <row r="37" spans="8:12" ht="12.75">
      <c r="H37" s="132"/>
      <c r="I37" s="132"/>
      <c r="J37" s="132"/>
      <c r="K37" s="132"/>
      <c r="L37" s="132"/>
    </row>
    <row r="38" spans="2:12" ht="12.75">
      <c r="B38" s="67" t="s">
        <v>29</v>
      </c>
      <c r="C38" s="37"/>
      <c r="D38" s="37"/>
      <c r="G38" s="88"/>
      <c r="H38" s="58"/>
      <c r="I38" s="58"/>
      <c r="J38" s="58"/>
      <c r="K38" s="59"/>
      <c r="L38" s="143"/>
    </row>
    <row r="39" spans="1:12" ht="12.75">
      <c r="A39" s="56">
        <v>-1</v>
      </c>
      <c r="B39" s="3" t="str">
        <f>" "&amp;'Scenario Inputs'!$L$1&amp;", Column 6"</f>
        <v> Exhibit 1, Page 1, Column 6</v>
      </c>
      <c r="C39" s="37"/>
      <c r="D39" s="37"/>
      <c r="E39" s="56"/>
      <c r="F39" s="56">
        <v>-7</v>
      </c>
      <c r="G39" s="3" t="str">
        <f>" "&amp;'Scenario Inputs'!$L$1&amp;", Entry 5"</f>
        <v> Exhibit 1, Page 1, Entry 5</v>
      </c>
      <c r="H39" s="37"/>
      <c r="I39" s="37"/>
      <c r="J39" s="37"/>
      <c r="L39" s="43"/>
    </row>
    <row r="40" spans="1:10" ht="12.75">
      <c r="A40" s="56">
        <v>-2</v>
      </c>
      <c r="B40" s="3" t="s">
        <v>160</v>
      </c>
      <c r="C40" s="37"/>
      <c r="D40" s="37"/>
      <c r="F40" s="56">
        <v>-8</v>
      </c>
      <c r="G40" s="3" t="s">
        <v>75</v>
      </c>
      <c r="H40" s="37"/>
      <c r="I40" s="37"/>
      <c r="J40" s="37"/>
    </row>
    <row r="41" spans="1:10" ht="12.75">
      <c r="A41" s="56">
        <v>-3</v>
      </c>
      <c r="B41" s="37" t="s">
        <v>115</v>
      </c>
      <c r="C41" s="37"/>
      <c r="D41" s="37"/>
      <c r="F41" s="56">
        <v>-9</v>
      </c>
      <c r="G41" s="37" t="s">
        <v>76</v>
      </c>
      <c r="H41" s="37"/>
      <c r="I41" s="37"/>
      <c r="J41" s="37"/>
    </row>
    <row r="42" spans="1:7" s="37" customFormat="1" ht="12.75">
      <c r="A42" s="56">
        <v>-4</v>
      </c>
      <c r="B42" s="37" t="s">
        <v>118</v>
      </c>
      <c r="F42" s="56">
        <v>-10</v>
      </c>
      <c r="G42" s="37" t="s">
        <v>26</v>
      </c>
    </row>
    <row r="43" spans="1:7" s="37" customFormat="1" ht="12.75">
      <c r="A43" s="56">
        <v>-5</v>
      </c>
      <c r="B43" s="37" t="s">
        <v>161</v>
      </c>
      <c r="F43" s="56">
        <v>-11</v>
      </c>
      <c r="G43" s="37" t="s">
        <v>15</v>
      </c>
    </row>
    <row r="44" spans="1:2" s="37" customFormat="1" ht="12.75">
      <c r="A44" s="56">
        <v>-6</v>
      </c>
      <c r="B44" s="3" t="str">
        <f>" "&amp;'Scenario Inputs'!$L$1&amp;", Column 7"</f>
        <v> Exhibit 1, Page 1, Column 7</v>
      </c>
    </row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</sheetData>
  <printOptions/>
  <pageMargins left="0.5" right="0.5" top="0.75" bottom="0.75" header="0.5" footer="0.35"/>
  <pageSetup horizontalDpi="600" verticalDpi="600" orientation="landscape" scale="85" r:id="rId1"/>
  <headerFooter alignWithMargins="0">
    <oddFooter>&amp;L&amp;8&amp;F  &amp;A&amp;C&amp;8MBA Actuaries, Inc.&amp;R&amp;8&amp;D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3" customWidth="1"/>
    <col min="2" max="2" width="17.28125" style="3" customWidth="1"/>
    <col min="3" max="3" width="2.7109375" style="3" customWidth="1"/>
    <col min="4" max="4" width="16.8515625" style="3" customWidth="1"/>
    <col min="5" max="5" width="2.7109375" style="3" customWidth="1"/>
    <col min="6" max="6" width="16.28125" style="3" customWidth="1"/>
    <col min="7" max="16384" width="9.140625" style="3" customWidth="1"/>
  </cols>
  <sheetData>
    <row r="1" ht="12.75">
      <c r="B1" s="198" t="s">
        <v>139</v>
      </c>
    </row>
    <row r="2" spans="2:6" ht="12.75">
      <c r="B2" s="198" t="s">
        <v>140</v>
      </c>
      <c r="D2" s="202" t="s">
        <v>141</v>
      </c>
      <c r="E2" s="39"/>
      <c r="F2" s="39"/>
    </row>
    <row r="3" ht="4.5" customHeight="1">
      <c r="D3" s="130"/>
    </row>
    <row r="4" spans="1:6" ht="12.75">
      <c r="A4" s="130"/>
      <c r="B4" s="4" t="str">
        <f aca="true" t="shared" si="0" ref="B4:B13">IF(Scen="M",D4,IF(Scen="S",F4,"N/A"))</f>
        <v>Moderate Scenario</v>
      </c>
      <c r="D4" s="44" t="s">
        <v>61</v>
      </c>
      <c r="E4" s="44"/>
      <c r="F4" s="166" t="s">
        <v>77</v>
      </c>
    </row>
    <row r="5" spans="2:6" ht="12.75">
      <c r="B5" s="12" t="str">
        <f t="shared" si="0"/>
        <v> Exhibit 2, Page 1</v>
      </c>
      <c r="D5" s="131" t="s">
        <v>88</v>
      </c>
      <c r="E5" s="44"/>
      <c r="F5" s="131" t="s">
        <v>125</v>
      </c>
    </row>
    <row r="6" spans="2:6" ht="12.75">
      <c r="B6" s="12" t="str">
        <f t="shared" si="0"/>
        <v> Exhibit 2, Page 2</v>
      </c>
      <c r="D6" s="131" t="s">
        <v>89</v>
      </c>
      <c r="E6" s="44"/>
      <c r="F6" s="131" t="s">
        <v>126</v>
      </c>
    </row>
    <row r="7" spans="2:6" ht="12.75">
      <c r="B7" s="12" t="str">
        <f t="shared" si="0"/>
        <v> Exhibit 2, Page 3</v>
      </c>
      <c r="D7" s="131" t="s">
        <v>90</v>
      </c>
      <c r="E7" s="44"/>
      <c r="F7" s="131" t="s">
        <v>127</v>
      </c>
    </row>
    <row r="8" spans="2:6" ht="12.75">
      <c r="B8" s="12" t="str">
        <f t="shared" si="0"/>
        <v> Exhibit 3, Page 1</v>
      </c>
      <c r="D8" s="131" t="s">
        <v>79</v>
      </c>
      <c r="E8" s="44"/>
      <c r="F8" s="131" t="s">
        <v>99</v>
      </c>
    </row>
    <row r="9" spans="2:6" ht="12.75">
      <c r="B9" s="12" t="str">
        <f t="shared" si="0"/>
        <v> Exhibit 3, Page 2</v>
      </c>
      <c r="D9" s="131" t="s">
        <v>80</v>
      </c>
      <c r="E9" s="44"/>
      <c r="F9" s="131" t="s">
        <v>100</v>
      </c>
    </row>
    <row r="10" spans="2:6" ht="12.75">
      <c r="B10" s="12" t="str">
        <f t="shared" si="0"/>
        <v> Exhibit 3, Page 3</v>
      </c>
      <c r="D10" s="131" t="s">
        <v>81</v>
      </c>
      <c r="E10" s="44"/>
      <c r="F10" s="131" t="s">
        <v>101</v>
      </c>
    </row>
    <row r="11" spans="2:6" ht="12.75">
      <c r="B11" s="12" t="str">
        <f t="shared" si="0"/>
        <v> Exhibit 4, Page 1</v>
      </c>
      <c r="D11" s="131" t="s">
        <v>82</v>
      </c>
      <c r="E11" s="44"/>
      <c r="F11" s="131" t="s">
        <v>85</v>
      </c>
    </row>
    <row r="12" spans="2:6" ht="12.75">
      <c r="B12" s="12" t="str">
        <f t="shared" si="0"/>
        <v> Exhibit 4, Page 2</v>
      </c>
      <c r="D12" s="131" t="s">
        <v>83</v>
      </c>
      <c r="E12" s="44"/>
      <c r="F12" s="131" t="s">
        <v>86</v>
      </c>
    </row>
    <row r="13" spans="2:6" ht="12.75">
      <c r="B13" s="12" t="str">
        <f t="shared" si="0"/>
        <v> Exhibit 4, Page 3</v>
      </c>
      <c r="D13" s="131" t="s">
        <v>84</v>
      </c>
      <c r="E13" s="44"/>
      <c r="F13" s="131" t="s">
        <v>87</v>
      </c>
    </row>
    <row r="15" ht="12.75">
      <c r="B15" s="198" t="s">
        <v>132</v>
      </c>
    </row>
    <row r="16" spans="2:4" ht="12.75">
      <c r="B16" s="41">
        <v>1000000</v>
      </c>
      <c r="D16" s="201" t="s">
        <v>138</v>
      </c>
    </row>
    <row r="17" spans="2:4" ht="12.75">
      <c r="B17" s="199" t="s">
        <v>133</v>
      </c>
      <c r="D17" s="3" t="s">
        <v>137</v>
      </c>
    </row>
    <row r="25" ht="12.75">
      <c r="A25" s="10"/>
    </row>
  </sheetData>
  <printOptions/>
  <pageMargins left="0.5" right="0.5" top="0.75" bottom="0.75" header="0.5" footer="0.35"/>
  <pageSetup horizontalDpi="600" verticalDpi="600" orientation="portrait" r:id="rId1"/>
  <headerFooter alignWithMargins="0">
    <oddFooter>&amp;L&amp;8&amp;F  &amp;A&amp;C&amp;8MBA Actuaries, Inc.&amp;R&amp;8&amp;D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workbookViewId="0" topLeftCell="A1">
      <selection activeCell="B4" sqref="B4"/>
    </sheetView>
  </sheetViews>
  <sheetFormatPr defaultColWidth="9.140625" defaultRowHeight="12.75"/>
  <cols>
    <col min="1" max="1" width="20.8515625" style="0" customWidth="1"/>
    <col min="2" max="3" width="12.7109375" style="0" customWidth="1"/>
    <col min="4" max="4" width="12.7109375" style="0" customWidth="1" collapsed="1"/>
    <col min="5" max="11" width="12.7109375" style="0" customWidth="1"/>
    <col min="12" max="12" width="2.8515625" style="0" customWidth="1"/>
    <col min="13" max="13" width="5.00390625" style="0" customWidth="1"/>
    <col min="14" max="14" width="12.140625" style="0" customWidth="1"/>
    <col min="15" max="15" width="10.57421875" style="0" customWidth="1"/>
    <col min="16" max="16" width="11.57421875" style="0" customWidth="1"/>
    <col min="22" max="22" width="10.28125" style="0" customWidth="1"/>
  </cols>
  <sheetData>
    <row r="1" ht="12.75">
      <c r="L1" s="2" t="str">
        <f>IF(Scen="S","Exhibit 1, Page 2","Exhibit 1, Page 1")</f>
        <v>Exhibit 1, Page 1</v>
      </c>
    </row>
    <row r="2" spans="1:16" ht="15.75">
      <c r="A2" s="97" t="str">
        <f>scenario&amp;" Assumptions"</f>
        <v>Moderate Scenario Assumptions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P2" s="44"/>
    </row>
    <row r="3" spans="1:20" ht="12.75">
      <c r="A3" s="1"/>
      <c r="B3" s="198"/>
      <c r="C3" s="44"/>
      <c r="D3" s="44"/>
      <c r="E3" s="44"/>
      <c r="R3" s="42"/>
      <c r="S3" s="17"/>
      <c r="T3" s="17"/>
    </row>
    <row r="4" spans="1:23" ht="12.75">
      <c r="A4" s="1" t="s">
        <v>131</v>
      </c>
      <c r="B4" s="197" t="s">
        <v>173</v>
      </c>
      <c r="C4" s="192" t="s">
        <v>151</v>
      </c>
      <c r="H4" s="42"/>
      <c r="S4" s="16"/>
      <c r="T4" s="16"/>
      <c r="U4" s="16"/>
      <c r="V4" s="96"/>
      <c r="W4" s="3"/>
    </row>
    <row r="5" spans="2:23" ht="12.75">
      <c r="B5" s="111"/>
      <c r="C5" s="16"/>
      <c r="D5" s="16"/>
      <c r="E5" s="4"/>
      <c r="G5" s="16"/>
      <c r="R5" s="12"/>
      <c r="S5" s="76"/>
      <c r="T5" s="45"/>
      <c r="U5" s="83"/>
      <c r="V5" s="7"/>
      <c r="W5" s="3"/>
    </row>
    <row r="6" spans="1:23" ht="12.75">
      <c r="A6" s="2" t="s">
        <v>103</v>
      </c>
      <c r="B6" s="187" t="s">
        <v>158</v>
      </c>
      <c r="C6" s="192" t="s">
        <v>150</v>
      </c>
      <c r="D6" s="90"/>
      <c r="E6" s="166"/>
      <c r="R6" s="82"/>
      <c r="S6" s="76"/>
      <c r="T6" s="45"/>
      <c r="U6" s="62"/>
      <c r="V6" s="7"/>
      <c r="W6" s="3"/>
    </row>
    <row r="7" spans="1:23" ht="12.75">
      <c r="A7" s="22"/>
      <c r="B7" s="167"/>
      <c r="C7" s="49"/>
      <c r="D7" s="49"/>
      <c r="R7" s="12"/>
      <c r="S7" s="76"/>
      <c r="T7" s="45"/>
      <c r="U7" s="62"/>
      <c r="V7" s="7"/>
      <c r="W7" s="3"/>
    </row>
    <row r="8" spans="1:4" ht="12.75">
      <c r="A8" s="91" t="s">
        <v>60</v>
      </c>
      <c r="B8" s="111"/>
      <c r="C8" s="205" t="s">
        <v>11</v>
      </c>
      <c r="D8" s="206" t="s">
        <v>10</v>
      </c>
    </row>
    <row r="9" spans="1:21" ht="12.75">
      <c r="A9" s="92" t="s">
        <v>104</v>
      </c>
      <c r="B9" s="185">
        <f>IF(Scen="M",C9,IF(Scen="S",D9,"N/A"))</f>
        <v>0.7</v>
      </c>
      <c r="C9" s="207">
        <v>0.7</v>
      </c>
      <c r="D9" s="208">
        <v>6.5</v>
      </c>
      <c r="T9" s="62"/>
      <c r="U9" s="62"/>
    </row>
    <row r="10" spans="1:21" ht="12.75">
      <c r="A10" s="92"/>
      <c r="B10" s="168"/>
      <c r="C10" s="207"/>
      <c r="D10" s="208"/>
      <c r="T10" s="62"/>
      <c r="U10" s="62"/>
    </row>
    <row r="11" spans="1:8" s="3" customFormat="1" ht="12.75">
      <c r="A11" s="92" t="s">
        <v>163</v>
      </c>
      <c r="B11" s="203">
        <f>IF(Scen="M",C11,IF(Scen="S",D11,"N/A"))</f>
        <v>1</v>
      </c>
      <c r="C11" s="209">
        <v>1</v>
      </c>
      <c r="D11" s="210">
        <v>0.9109848484848484</v>
      </c>
      <c r="F11" s="99"/>
      <c r="G11" s="100"/>
      <c r="H11" s="37"/>
    </row>
    <row r="12" spans="1:8" s="3" customFormat="1" ht="12.75">
      <c r="A12" s="99"/>
      <c r="B12" s="204"/>
      <c r="C12" s="46"/>
      <c r="D12" s="107"/>
      <c r="F12" s="99"/>
      <c r="G12" s="100"/>
      <c r="H12" s="37"/>
    </row>
    <row r="13" spans="1:21" ht="12.75">
      <c r="A13" s="99" t="s">
        <v>72</v>
      </c>
      <c r="B13" s="169"/>
      <c r="C13" s="114"/>
      <c r="D13" s="120"/>
      <c r="E13" s="37"/>
      <c r="T13" s="62"/>
      <c r="U13" s="62"/>
    </row>
    <row r="14" spans="1:20" ht="12.75">
      <c r="A14" s="99" t="s">
        <v>164</v>
      </c>
      <c r="B14" s="186">
        <f>IF(Scen="M",C14,IF(Scen="S",D14,"N/A"))</f>
        <v>0.571</v>
      </c>
      <c r="C14" s="211">
        <v>0.571</v>
      </c>
      <c r="D14" s="212">
        <v>0.769</v>
      </c>
      <c r="S14" s="62"/>
      <c r="T14" s="62"/>
    </row>
    <row r="15" spans="1:5" ht="9" customHeight="1">
      <c r="A15" s="92"/>
      <c r="B15" s="93"/>
      <c r="D15" s="94"/>
      <c r="E15" s="95"/>
    </row>
    <row r="16" spans="4:11" ht="12.75">
      <c r="D16" s="215" t="s">
        <v>109</v>
      </c>
      <c r="E16" s="139"/>
      <c r="F16" s="139"/>
      <c r="G16" s="213"/>
      <c r="H16" s="213"/>
      <c r="I16" s="213"/>
      <c r="J16" s="213"/>
      <c r="K16" s="214"/>
    </row>
    <row r="17" spans="1:11" ht="12.75">
      <c r="A17" s="16"/>
      <c r="B17" s="128" t="s">
        <v>68</v>
      </c>
      <c r="C17" s="136" t="s">
        <v>4</v>
      </c>
      <c r="D17" s="112" t="s">
        <v>55</v>
      </c>
      <c r="E17" s="113"/>
      <c r="F17" s="112" t="s">
        <v>65</v>
      </c>
      <c r="G17" s="113"/>
      <c r="H17" s="139" t="s">
        <v>66</v>
      </c>
      <c r="I17" s="139"/>
      <c r="J17" s="112" t="s">
        <v>67</v>
      </c>
      <c r="K17" s="113"/>
    </row>
    <row r="18" spans="1:11" ht="12.75">
      <c r="A18" s="1" t="s">
        <v>5</v>
      </c>
      <c r="B18" s="129" t="s">
        <v>0</v>
      </c>
      <c r="C18" s="129" t="s">
        <v>6</v>
      </c>
      <c r="D18" s="114" t="s">
        <v>59</v>
      </c>
      <c r="E18" s="115" t="s">
        <v>4</v>
      </c>
      <c r="F18" s="114" t="s">
        <v>59</v>
      </c>
      <c r="G18" s="120" t="s">
        <v>4</v>
      </c>
      <c r="H18" s="114" t="s">
        <v>59</v>
      </c>
      <c r="I18" s="120" t="s">
        <v>4</v>
      </c>
      <c r="J18" s="114" t="s">
        <v>59</v>
      </c>
      <c r="K18" s="120" t="s">
        <v>4</v>
      </c>
    </row>
    <row r="19" spans="1:11" ht="12.75">
      <c r="A19" s="18"/>
      <c r="B19" s="126">
        <v>-6</v>
      </c>
      <c r="C19" s="117">
        <f aca="true" t="shared" si="0" ref="C19:K19">+B19-1</f>
        <v>-7</v>
      </c>
      <c r="D19" s="125">
        <f t="shared" si="0"/>
        <v>-8</v>
      </c>
      <c r="E19" s="117">
        <f t="shared" si="0"/>
        <v>-9</v>
      </c>
      <c r="F19" s="125">
        <f t="shared" si="0"/>
        <v>-10</v>
      </c>
      <c r="G19" s="117">
        <f t="shared" si="0"/>
        <v>-11</v>
      </c>
      <c r="H19" s="116">
        <f t="shared" si="0"/>
        <v>-12</v>
      </c>
      <c r="I19" s="117">
        <f t="shared" si="0"/>
        <v>-13</v>
      </c>
      <c r="J19" s="116">
        <f t="shared" si="0"/>
        <v>-14</v>
      </c>
      <c r="K19" s="117">
        <f t="shared" si="0"/>
        <v>-15</v>
      </c>
    </row>
    <row r="20" spans="1:11" ht="3.75" customHeight="1">
      <c r="A20" s="18"/>
      <c r="B20" s="129"/>
      <c r="C20" s="129"/>
      <c r="D20" s="114"/>
      <c r="E20" s="115"/>
      <c r="F20" s="114"/>
      <c r="G20" s="120"/>
      <c r="H20" s="114"/>
      <c r="I20" s="120"/>
      <c r="J20" s="114"/>
      <c r="K20" s="120"/>
    </row>
    <row r="21" spans="1:11" ht="12.75">
      <c r="A21" s="152" t="s">
        <v>38</v>
      </c>
      <c r="B21" s="188">
        <v>20071268</v>
      </c>
      <c r="C21" s="137">
        <f aca="true" t="shared" si="1" ref="C21:C38">IF(curve="Flat",E21,IF(curve="U",G21,IF(curve="W",K21,IF(curve="V\",I21,"N/A"))))</f>
        <v>1.237</v>
      </c>
      <c r="D21" s="190">
        <v>1</v>
      </c>
      <c r="E21" s="118">
        <f aca="true" t="shared" si="2" ref="E21:E38">+D21*XSDths</f>
        <v>0.7</v>
      </c>
      <c r="F21" s="121">
        <v>2.5</v>
      </c>
      <c r="G21" s="122">
        <f aca="true" t="shared" si="3" ref="G21:I36">ROUND(F21*XSDths,3)</f>
        <v>1.75</v>
      </c>
      <c r="H21" s="121">
        <v>1.767</v>
      </c>
      <c r="I21" s="122">
        <f t="shared" si="3"/>
        <v>1.237</v>
      </c>
      <c r="J21" s="121">
        <v>1.05</v>
      </c>
      <c r="K21" s="122">
        <f aca="true" t="shared" si="4" ref="K21:K38">ROUND(J21*XSDths,3)</f>
        <v>0.735</v>
      </c>
    </row>
    <row r="22" spans="1:11" ht="12.75">
      <c r="A22" s="153" t="s">
        <v>39</v>
      </c>
      <c r="B22" s="188">
        <v>19605572</v>
      </c>
      <c r="C22" s="137">
        <f t="shared" si="1"/>
        <v>0.247</v>
      </c>
      <c r="D22" s="190">
        <v>1</v>
      </c>
      <c r="E22" s="118">
        <f t="shared" si="2"/>
        <v>0.7</v>
      </c>
      <c r="F22" s="121">
        <v>0.15</v>
      </c>
      <c r="G22" s="122">
        <f t="shared" si="3"/>
        <v>0.105</v>
      </c>
      <c r="H22" s="121">
        <v>0.3534</v>
      </c>
      <c r="I22" s="122">
        <f t="shared" si="3"/>
        <v>0.247</v>
      </c>
      <c r="J22" s="121">
        <v>0.19056261343012706</v>
      </c>
      <c r="K22" s="122">
        <f t="shared" si="4"/>
        <v>0.133</v>
      </c>
    </row>
    <row r="23" spans="1:11" ht="12.75">
      <c r="A23" s="153" t="s">
        <v>40</v>
      </c>
      <c r="B23" s="188">
        <v>21145156</v>
      </c>
      <c r="C23" s="137">
        <f t="shared" si="1"/>
        <v>0.247</v>
      </c>
      <c r="D23" s="190">
        <v>1</v>
      </c>
      <c r="E23" s="118">
        <f t="shared" si="2"/>
        <v>0.7</v>
      </c>
      <c r="F23" s="121">
        <v>0.15</v>
      </c>
      <c r="G23" s="122">
        <f t="shared" si="3"/>
        <v>0.105</v>
      </c>
      <c r="H23" s="121">
        <v>0.3534</v>
      </c>
      <c r="I23" s="122">
        <f t="shared" si="3"/>
        <v>0.247</v>
      </c>
      <c r="J23" s="121">
        <v>0.38112522686025413</v>
      </c>
      <c r="K23" s="122">
        <f t="shared" si="4"/>
        <v>0.267</v>
      </c>
    </row>
    <row r="24" spans="1:11" ht="12.75">
      <c r="A24" s="153" t="s">
        <v>41</v>
      </c>
      <c r="B24" s="188">
        <v>20729802</v>
      </c>
      <c r="C24" s="137">
        <f t="shared" si="1"/>
        <v>0.742</v>
      </c>
      <c r="D24" s="190">
        <v>1</v>
      </c>
      <c r="E24" s="118">
        <f t="shared" si="2"/>
        <v>0.7</v>
      </c>
      <c r="F24" s="121">
        <v>0.15</v>
      </c>
      <c r="G24" s="122">
        <f t="shared" si="3"/>
        <v>0.105</v>
      </c>
      <c r="H24" s="121">
        <v>1.0601999999999998</v>
      </c>
      <c r="I24" s="122">
        <f t="shared" si="3"/>
        <v>0.742</v>
      </c>
      <c r="J24" s="121">
        <v>0.8575317604355718</v>
      </c>
      <c r="K24" s="122">
        <f t="shared" si="4"/>
        <v>0.6</v>
      </c>
    </row>
    <row r="25" spans="1:11" ht="12.75">
      <c r="A25" s="153" t="s">
        <v>42</v>
      </c>
      <c r="B25" s="188">
        <v>20971302</v>
      </c>
      <c r="C25" s="137">
        <f t="shared" si="1"/>
        <v>1.072</v>
      </c>
      <c r="D25" s="190">
        <v>1</v>
      </c>
      <c r="E25" s="118">
        <f t="shared" si="2"/>
        <v>0.7</v>
      </c>
      <c r="F25" s="121">
        <v>0.15</v>
      </c>
      <c r="G25" s="122">
        <f t="shared" si="3"/>
        <v>0.105</v>
      </c>
      <c r="H25" s="121">
        <v>1.5314</v>
      </c>
      <c r="I25" s="122">
        <f t="shared" si="3"/>
        <v>1.072</v>
      </c>
      <c r="J25" s="121">
        <v>1.238656987295826</v>
      </c>
      <c r="K25" s="122">
        <f t="shared" si="4"/>
        <v>0.867</v>
      </c>
    </row>
    <row r="26" spans="1:11" ht="12.75">
      <c r="A26" s="152" t="s">
        <v>43</v>
      </c>
      <c r="B26" s="188">
        <v>19560906</v>
      </c>
      <c r="C26" s="137">
        <f t="shared" si="1"/>
        <v>1.567</v>
      </c>
      <c r="D26" s="190">
        <v>1</v>
      </c>
      <c r="E26" s="118">
        <f t="shared" si="2"/>
        <v>0.7</v>
      </c>
      <c r="F26" s="121">
        <v>0.3</v>
      </c>
      <c r="G26" s="122">
        <f t="shared" si="3"/>
        <v>0.21</v>
      </c>
      <c r="H26" s="121">
        <v>2.2382</v>
      </c>
      <c r="I26" s="122">
        <f t="shared" si="3"/>
        <v>1.567</v>
      </c>
      <c r="J26" s="121">
        <v>1.8103448275862069</v>
      </c>
      <c r="K26" s="122">
        <f t="shared" si="4"/>
        <v>1.267</v>
      </c>
    </row>
    <row r="27" spans="1:11" ht="12.75">
      <c r="A27" s="152" t="s">
        <v>44</v>
      </c>
      <c r="B27" s="188">
        <v>20471032</v>
      </c>
      <c r="C27" s="137">
        <f t="shared" si="1"/>
        <v>1.567</v>
      </c>
      <c r="D27" s="190">
        <v>1</v>
      </c>
      <c r="E27" s="118">
        <f t="shared" si="2"/>
        <v>0.7</v>
      </c>
      <c r="F27" s="121">
        <v>0.3</v>
      </c>
      <c r="G27" s="122">
        <f t="shared" si="3"/>
        <v>0.21</v>
      </c>
      <c r="H27" s="121">
        <v>2.2382</v>
      </c>
      <c r="I27" s="122">
        <f t="shared" si="3"/>
        <v>1.567</v>
      </c>
      <c r="J27" s="121">
        <v>1.8103448275862069</v>
      </c>
      <c r="K27" s="122">
        <f t="shared" si="4"/>
        <v>1.267</v>
      </c>
    </row>
    <row r="28" spans="1:11" ht="12.75">
      <c r="A28" s="152" t="s">
        <v>45</v>
      </c>
      <c r="B28" s="188">
        <v>21052318</v>
      </c>
      <c r="C28" s="137">
        <f t="shared" si="1"/>
        <v>0.907</v>
      </c>
      <c r="D28" s="190">
        <v>1</v>
      </c>
      <c r="E28" s="118">
        <f t="shared" si="2"/>
        <v>0.7</v>
      </c>
      <c r="F28" s="121">
        <v>0.3</v>
      </c>
      <c r="G28" s="122">
        <f t="shared" si="3"/>
        <v>0.21</v>
      </c>
      <c r="H28" s="121">
        <v>1.2957999999999998</v>
      </c>
      <c r="I28" s="122">
        <f t="shared" si="3"/>
        <v>0.907</v>
      </c>
      <c r="J28" s="121">
        <v>1.048094373865699</v>
      </c>
      <c r="K28" s="122">
        <f t="shared" si="4"/>
        <v>0.734</v>
      </c>
    </row>
    <row r="29" spans="1:11" ht="12.75">
      <c r="A29" s="152" t="s">
        <v>46</v>
      </c>
      <c r="B29" s="188">
        <v>23056334</v>
      </c>
      <c r="C29" s="137">
        <f t="shared" si="1"/>
        <v>0.742</v>
      </c>
      <c r="D29" s="190">
        <v>1</v>
      </c>
      <c r="E29" s="118">
        <f t="shared" si="2"/>
        <v>0.7</v>
      </c>
      <c r="F29" s="121">
        <v>0.3</v>
      </c>
      <c r="G29" s="122">
        <f t="shared" si="3"/>
        <v>0.21</v>
      </c>
      <c r="H29" s="121">
        <v>1.0601999999999998</v>
      </c>
      <c r="I29" s="122">
        <f t="shared" si="3"/>
        <v>0.742</v>
      </c>
      <c r="J29" s="121">
        <v>0.7622504537205083</v>
      </c>
      <c r="K29" s="122">
        <f t="shared" si="4"/>
        <v>0.534</v>
      </c>
    </row>
    <row r="30" spans="1:11" ht="12.75">
      <c r="A30" s="152" t="s">
        <v>47</v>
      </c>
      <c r="B30" s="188">
        <v>22122629</v>
      </c>
      <c r="C30" s="137">
        <f t="shared" si="1"/>
        <v>0.577</v>
      </c>
      <c r="D30" s="190">
        <v>1</v>
      </c>
      <c r="E30" s="118">
        <f t="shared" si="2"/>
        <v>0.7</v>
      </c>
      <c r="F30" s="121">
        <v>0.6</v>
      </c>
      <c r="G30" s="122">
        <f t="shared" si="3"/>
        <v>0.42</v>
      </c>
      <c r="H30" s="121">
        <v>0.8246</v>
      </c>
      <c r="I30" s="122">
        <f t="shared" si="3"/>
        <v>0.577</v>
      </c>
      <c r="J30" s="121">
        <v>0.38112522686025413</v>
      </c>
      <c r="K30" s="122">
        <f t="shared" si="4"/>
        <v>0.267</v>
      </c>
    </row>
    <row r="31" spans="1:11" ht="12.75">
      <c r="A31" s="152" t="s">
        <v>48</v>
      </c>
      <c r="B31" s="188">
        <v>19496176</v>
      </c>
      <c r="C31" s="137">
        <f t="shared" si="1"/>
        <v>0.412</v>
      </c>
      <c r="D31" s="190">
        <v>1</v>
      </c>
      <c r="E31" s="118">
        <f t="shared" si="2"/>
        <v>0.7</v>
      </c>
      <c r="F31" s="121">
        <v>0.9</v>
      </c>
      <c r="G31" s="122">
        <f t="shared" si="3"/>
        <v>0.63</v>
      </c>
      <c r="H31" s="121">
        <v>0.589</v>
      </c>
      <c r="I31" s="122">
        <f t="shared" si="3"/>
        <v>0.412</v>
      </c>
      <c r="J31" s="121">
        <v>0.38112522686025413</v>
      </c>
      <c r="K31" s="122">
        <f t="shared" si="4"/>
        <v>0.267</v>
      </c>
    </row>
    <row r="32" spans="1:11" ht="12.75">
      <c r="A32" s="152" t="s">
        <v>49</v>
      </c>
      <c r="B32" s="188">
        <v>16489501</v>
      </c>
      <c r="C32" s="137">
        <f t="shared" si="1"/>
        <v>0.33</v>
      </c>
      <c r="D32" s="190">
        <v>1</v>
      </c>
      <c r="E32" s="118">
        <f t="shared" si="2"/>
        <v>0.7</v>
      </c>
      <c r="F32" s="121">
        <v>1.2</v>
      </c>
      <c r="G32" s="122">
        <f t="shared" si="3"/>
        <v>0.84</v>
      </c>
      <c r="H32" s="121">
        <v>0.47119999999999995</v>
      </c>
      <c r="I32" s="122">
        <f t="shared" si="3"/>
        <v>0.33</v>
      </c>
      <c r="J32" s="121">
        <v>0.5716878402903812</v>
      </c>
      <c r="K32" s="122">
        <f t="shared" si="4"/>
        <v>0.4</v>
      </c>
    </row>
    <row r="33" spans="1:11" ht="12.75">
      <c r="A33" s="152" t="s">
        <v>50</v>
      </c>
      <c r="B33" s="188">
        <v>12589423</v>
      </c>
      <c r="C33" s="137">
        <f t="shared" si="1"/>
        <v>0.247</v>
      </c>
      <c r="D33" s="190">
        <v>1</v>
      </c>
      <c r="E33" s="118">
        <f t="shared" si="2"/>
        <v>0.7</v>
      </c>
      <c r="F33" s="121">
        <v>1.6</v>
      </c>
      <c r="G33" s="122">
        <f t="shared" si="3"/>
        <v>1.12</v>
      </c>
      <c r="H33" s="121">
        <v>0.3534</v>
      </c>
      <c r="I33" s="122">
        <f t="shared" si="3"/>
        <v>0.247</v>
      </c>
      <c r="J33" s="121">
        <v>0.7622504537205083</v>
      </c>
      <c r="K33" s="122">
        <f t="shared" si="4"/>
        <v>0.534</v>
      </c>
    </row>
    <row r="34" spans="1:11" ht="12.75">
      <c r="A34" s="152" t="s">
        <v>51</v>
      </c>
      <c r="B34" s="188">
        <v>9956467</v>
      </c>
      <c r="C34" s="137">
        <f t="shared" si="1"/>
        <v>0.165</v>
      </c>
      <c r="D34" s="190">
        <v>1</v>
      </c>
      <c r="E34" s="118">
        <f t="shared" si="2"/>
        <v>0.7</v>
      </c>
      <c r="F34" s="121">
        <v>2</v>
      </c>
      <c r="G34" s="122">
        <f t="shared" si="3"/>
        <v>1.4</v>
      </c>
      <c r="H34" s="121">
        <v>0.23559999999999998</v>
      </c>
      <c r="I34" s="122">
        <f t="shared" si="3"/>
        <v>0.165</v>
      </c>
      <c r="J34" s="121">
        <v>0.9528130671506353</v>
      </c>
      <c r="K34" s="122">
        <f t="shared" si="4"/>
        <v>0.667</v>
      </c>
    </row>
    <row r="35" spans="1:11" ht="12.75">
      <c r="A35" s="152" t="s">
        <v>52</v>
      </c>
      <c r="B35" s="188">
        <v>8507005</v>
      </c>
      <c r="C35" s="137">
        <f t="shared" si="1"/>
        <v>0.165</v>
      </c>
      <c r="D35" s="190">
        <v>1</v>
      </c>
      <c r="E35" s="118">
        <f t="shared" si="2"/>
        <v>0.7</v>
      </c>
      <c r="F35" s="121">
        <v>2.5</v>
      </c>
      <c r="G35" s="122">
        <f t="shared" si="3"/>
        <v>1.75</v>
      </c>
      <c r="H35" s="121">
        <v>0.23559999999999998</v>
      </c>
      <c r="I35" s="122">
        <f t="shared" si="3"/>
        <v>0.165</v>
      </c>
      <c r="J35" s="121">
        <v>1.4101633393829403</v>
      </c>
      <c r="K35" s="122">
        <f t="shared" si="4"/>
        <v>0.987</v>
      </c>
    </row>
    <row r="36" spans="1:11" ht="12.75">
      <c r="A36" s="152" t="s">
        <v>53</v>
      </c>
      <c r="B36" s="188">
        <v>7410757</v>
      </c>
      <c r="C36" s="137">
        <f t="shared" si="1"/>
        <v>0.082</v>
      </c>
      <c r="D36" s="190">
        <v>1</v>
      </c>
      <c r="E36" s="118">
        <f t="shared" si="2"/>
        <v>0.7</v>
      </c>
      <c r="F36" s="121">
        <v>3.2</v>
      </c>
      <c r="G36" s="122">
        <f t="shared" si="3"/>
        <v>2.24</v>
      </c>
      <c r="H36" s="121">
        <v>0.11779999999999999</v>
      </c>
      <c r="I36" s="122">
        <f t="shared" si="3"/>
        <v>0.082</v>
      </c>
      <c r="J36" s="121">
        <v>1.9056261343012706</v>
      </c>
      <c r="K36" s="122">
        <f t="shared" si="4"/>
        <v>1.334</v>
      </c>
    </row>
    <row r="37" spans="1:11" ht="12.75">
      <c r="A37" s="152" t="s">
        <v>54</v>
      </c>
      <c r="B37" s="188">
        <v>5560125</v>
      </c>
      <c r="C37" s="137">
        <f t="shared" si="1"/>
        <v>0.082</v>
      </c>
      <c r="D37" s="190">
        <v>1</v>
      </c>
      <c r="E37" s="118">
        <f t="shared" si="2"/>
        <v>0.7</v>
      </c>
      <c r="F37" s="121">
        <v>3.9</v>
      </c>
      <c r="G37" s="122">
        <f aca="true" t="shared" si="5" ref="G37:I38">ROUND(F37*XSDths,3)</f>
        <v>2.73</v>
      </c>
      <c r="H37" s="121">
        <v>0.11779999999999999</v>
      </c>
      <c r="I37" s="122">
        <f t="shared" si="5"/>
        <v>0.082</v>
      </c>
      <c r="J37" s="121">
        <v>2.8584392014519056</v>
      </c>
      <c r="K37" s="122">
        <f t="shared" si="4"/>
        <v>2.001</v>
      </c>
    </row>
    <row r="38" spans="1:11" ht="12.75">
      <c r="A38" s="154" t="s">
        <v>28</v>
      </c>
      <c r="B38" s="189">
        <v>4859631</v>
      </c>
      <c r="C38" s="138">
        <f t="shared" si="1"/>
        <v>0.082</v>
      </c>
      <c r="D38" s="191">
        <v>1</v>
      </c>
      <c r="E38" s="119">
        <f t="shared" si="2"/>
        <v>0.7</v>
      </c>
      <c r="F38" s="123">
        <v>10</v>
      </c>
      <c r="G38" s="124">
        <f t="shared" si="5"/>
        <v>7</v>
      </c>
      <c r="H38" s="123">
        <v>0.11779999999999999</v>
      </c>
      <c r="I38" s="124">
        <f t="shared" si="5"/>
        <v>0.082</v>
      </c>
      <c r="J38" s="123">
        <v>3.811252268602541</v>
      </c>
      <c r="K38" s="124">
        <f t="shared" si="4"/>
        <v>2.668</v>
      </c>
    </row>
    <row r="39" spans="1:11" ht="12.75">
      <c r="A39" s="2" t="s">
        <v>3</v>
      </c>
      <c r="B39" s="9">
        <v>293655404</v>
      </c>
      <c r="C39" s="62">
        <f>SUMPRODUCT(C21:C38,$B$21:$B$38)/$B$39</f>
        <v>0.6999548200447897</v>
      </c>
      <c r="D39" s="19"/>
      <c r="E39" s="140">
        <f>SUMPRODUCT(E21:E38,$B$21:$B$38)/$B$39</f>
        <v>0.6999999999999998</v>
      </c>
      <c r="F39" s="141"/>
      <c r="G39" s="140">
        <f>SUMPRODUCT(G21:G38,$B$21:$B$38)/$B$39</f>
        <v>0.7001406362676711</v>
      </c>
      <c r="H39" s="140"/>
      <c r="I39" s="140">
        <f>SUMPRODUCT(I21:I38,$B$21:$B$38)/$B$39</f>
        <v>0.6999548200447897</v>
      </c>
      <c r="J39" s="141"/>
      <c r="K39" s="140">
        <f>SUMPRODUCT(K21:K38,$B$21:$B$38)/$B$39</f>
        <v>0.6999906430055005</v>
      </c>
    </row>
    <row r="40" spans="1:11" ht="12.75">
      <c r="A40" s="2"/>
      <c r="B40" s="142"/>
      <c r="C40" s="62"/>
      <c r="D40" s="19"/>
      <c r="E40" s="140"/>
      <c r="F40" s="141"/>
      <c r="G40" s="140"/>
      <c r="H40" s="140"/>
      <c r="I40" s="140"/>
      <c r="J40" s="141"/>
      <c r="K40" s="140"/>
    </row>
    <row r="41" spans="1:17" ht="12.75">
      <c r="A41" s="2"/>
      <c r="B41" s="89" t="s">
        <v>29</v>
      </c>
      <c r="C41" s="19"/>
      <c r="D41" s="19"/>
      <c r="G41" s="56">
        <f>+A48-1</f>
        <v>-8</v>
      </c>
      <c r="H41" s="37" t="s">
        <v>105</v>
      </c>
      <c r="Q41" s="77"/>
    </row>
    <row r="42" spans="1:17" ht="12.75">
      <c r="A42" s="134">
        <v>-1</v>
      </c>
      <c r="B42" s="135" t="s">
        <v>142</v>
      </c>
      <c r="C42" s="133"/>
      <c r="D42" s="133"/>
      <c r="E42" s="20"/>
      <c r="F42" s="20"/>
      <c r="G42" s="56">
        <f>+G41-1</f>
        <v>-9</v>
      </c>
      <c r="H42" s="37" t="s">
        <v>145</v>
      </c>
      <c r="J42" s="20"/>
      <c r="K42" s="20"/>
      <c r="L42" s="20"/>
      <c r="Q42" s="77"/>
    </row>
    <row r="43" spans="1:17" ht="12.75">
      <c r="A43" s="56">
        <f aca="true" t="shared" si="6" ref="A43:A48">+A42-1</f>
        <v>-2</v>
      </c>
      <c r="B43" t="s">
        <v>143</v>
      </c>
      <c r="E43" s="21"/>
      <c r="F43" s="21"/>
      <c r="G43" s="56">
        <f aca="true" t="shared" si="7" ref="G43:G48">+G42-1</f>
        <v>-10</v>
      </c>
      <c r="H43" t="s">
        <v>144</v>
      </c>
      <c r="J43" s="23"/>
      <c r="K43" s="23"/>
      <c r="L43" s="23"/>
      <c r="Q43" s="77"/>
    </row>
    <row r="44" spans="1:17" ht="12.75">
      <c r="A44" s="56">
        <f t="shared" si="6"/>
        <v>-3</v>
      </c>
      <c r="B44" s="20" t="s">
        <v>166</v>
      </c>
      <c r="C44" s="20"/>
      <c r="D44" s="20"/>
      <c r="E44" s="24"/>
      <c r="F44" s="24"/>
      <c r="G44" s="56">
        <f t="shared" si="7"/>
        <v>-11</v>
      </c>
      <c r="H44" t="s">
        <v>147</v>
      </c>
      <c r="I44" s="22"/>
      <c r="J44" s="22"/>
      <c r="K44" s="22"/>
      <c r="L44" s="21"/>
      <c r="Q44" s="77"/>
    </row>
    <row r="45" spans="1:17" ht="12.75">
      <c r="A45" s="56">
        <f t="shared" si="6"/>
        <v>-4</v>
      </c>
      <c r="B45" t="s">
        <v>165</v>
      </c>
      <c r="C45" s="21"/>
      <c r="E45" s="27"/>
      <c r="F45" s="28"/>
      <c r="G45" s="56">
        <f t="shared" si="7"/>
        <v>-12</v>
      </c>
      <c r="H45" t="s">
        <v>146</v>
      </c>
      <c r="I45" s="29"/>
      <c r="J45" s="29"/>
      <c r="K45" s="29"/>
      <c r="L45" s="31"/>
      <c r="Q45" s="77"/>
    </row>
    <row r="46" spans="1:17" ht="12.75">
      <c r="A46" s="56">
        <f t="shared" si="6"/>
        <v>-5</v>
      </c>
      <c r="B46" s="37" t="s">
        <v>167</v>
      </c>
      <c r="C46" s="24"/>
      <c r="D46" s="24"/>
      <c r="E46" s="27"/>
      <c r="F46" s="28"/>
      <c r="G46" s="56">
        <f t="shared" si="7"/>
        <v>-13</v>
      </c>
      <c r="H46" t="s">
        <v>149</v>
      </c>
      <c r="I46" s="29"/>
      <c r="J46" s="29"/>
      <c r="K46" s="29"/>
      <c r="L46" s="31"/>
      <c r="Q46" s="77"/>
    </row>
    <row r="47" spans="1:17" ht="12.75">
      <c r="A47" s="56">
        <f t="shared" si="6"/>
        <v>-6</v>
      </c>
      <c r="B47" s="37" t="s">
        <v>102</v>
      </c>
      <c r="C47" s="159"/>
      <c r="D47" s="159"/>
      <c r="E47" s="27"/>
      <c r="F47" s="28"/>
      <c r="G47" s="56">
        <f t="shared" si="7"/>
        <v>-14</v>
      </c>
      <c r="H47" t="s">
        <v>148</v>
      </c>
      <c r="I47" s="29"/>
      <c r="J47" s="29"/>
      <c r="K47" s="29"/>
      <c r="L47" s="31"/>
      <c r="Q47" s="77"/>
    </row>
    <row r="48" spans="1:17" ht="12.75">
      <c r="A48" s="56">
        <f t="shared" si="6"/>
        <v>-7</v>
      </c>
      <c r="B48" s="37" t="s">
        <v>172</v>
      </c>
      <c r="C48" s="32"/>
      <c r="D48" s="26"/>
      <c r="E48" s="27"/>
      <c r="F48" s="28"/>
      <c r="G48" s="56">
        <f t="shared" si="7"/>
        <v>-15</v>
      </c>
      <c r="H48" t="s">
        <v>171</v>
      </c>
      <c r="I48" s="29"/>
      <c r="J48" s="29"/>
      <c r="K48" s="29"/>
      <c r="L48" s="31"/>
      <c r="Q48" s="77"/>
    </row>
    <row r="49" spans="4:17" ht="12.75">
      <c r="D49" s="26"/>
      <c r="E49" s="27"/>
      <c r="F49" s="28"/>
      <c r="G49" s="29"/>
      <c r="H49" s="30"/>
      <c r="I49" s="29"/>
      <c r="J49" s="29"/>
      <c r="K49" s="29"/>
      <c r="L49" s="31"/>
      <c r="Q49" s="77"/>
    </row>
    <row r="50" spans="2:17" ht="12.75">
      <c r="B50" s="25"/>
      <c r="C50" s="26"/>
      <c r="D50" s="26"/>
      <c r="E50" s="27"/>
      <c r="F50" s="28"/>
      <c r="G50" s="29"/>
      <c r="H50" s="30"/>
      <c r="I50" s="29"/>
      <c r="J50" s="29"/>
      <c r="K50" s="29"/>
      <c r="L50" s="31"/>
      <c r="Q50" s="77"/>
    </row>
    <row r="51" spans="2:17" ht="12.75">
      <c r="B51" s="25"/>
      <c r="C51" s="26"/>
      <c r="D51" s="26"/>
      <c r="E51" s="27"/>
      <c r="F51" s="28"/>
      <c r="G51" s="29"/>
      <c r="H51" s="30"/>
      <c r="I51" s="29"/>
      <c r="J51" s="29"/>
      <c r="K51" s="29"/>
      <c r="L51" s="31"/>
      <c r="Q51" s="77"/>
    </row>
    <row r="52" spans="2:17" ht="12.75">
      <c r="B52" s="25"/>
      <c r="C52" s="26"/>
      <c r="D52" s="26"/>
      <c r="E52" s="27"/>
      <c r="F52" s="28"/>
      <c r="G52" s="29"/>
      <c r="H52" s="30"/>
      <c r="I52" s="29"/>
      <c r="J52" s="29"/>
      <c r="K52" s="29"/>
      <c r="L52" s="31"/>
      <c r="Q52" s="77"/>
    </row>
    <row r="53" spans="2:17" ht="12.75">
      <c r="B53" s="25"/>
      <c r="C53" s="26"/>
      <c r="D53" s="26"/>
      <c r="E53" s="33"/>
      <c r="F53" s="28"/>
      <c r="G53" s="29"/>
      <c r="H53" s="30"/>
      <c r="I53" s="29"/>
      <c r="J53" s="29"/>
      <c r="K53" s="29"/>
      <c r="L53" s="31"/>
      <c r="Q53" s="77"/>
    </row>
    <row r="54" spans="2:17" ht="12.75">
      <c r="B54" s="20"/>
      <c r="C54" s="34"/>
      <c r="D54" s="34"/>
      <c r="E54" s="35"/>
      <c r="F54" s="36"/>
      <c r="G54" s="36"/>
      <c r="H54" s="36"/>
      <c r="I54" s="35"/>
      <c r="J54" s="35"/>
      <c r="K54" s="35"/>
      <c r="L54" s="35"/>
      <c r="Q54" s="77"/>
    </row>
    <row r="55" spans="2:17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Q55" s="77"/>
    </row>
    <row r="56" ht="12.75">
      <c r="Q56" s="78"/>
    </row>
    <row r="57" ht="12.75">
      <c r="Q57" s="79"/>
    </row>
  </sheetData>
  <printOptions horizontalCentered="1"/>
  <pageMargins left="0.5" right="0.5" top="0.5" bottom="0.75" header="0.5" footer="0.35"/>
  <pageSetup fitToHeight="1" fitToWidth="1" horizontalDpi="600" verticalDpi="600" orientation="landscape" scale="86" r:id="rId1"/>
  <headerFooter alignWithMargins="0">
    <oddFooter>&amp;L&amp;8&amp;F  &amp;A&amp;C&amp;8MBA Actuaries, Inc.&amp;R&amp;8&amp;D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3" customWidth="1"/>
    <col min="2" max="4" width="13.28125" style="3" customWidth="1"/>
    <col min="5" max="5" width="14.7109375" style="3" customWidth="1"/>
    <col min="6" max="8" width="13.28125" style="3" customWidth="1"/>
    <col min="9" max="9" width="14.7109375" style="3" customWidth="1"/>
    <col min="10" max="10" width="2.7109375" style="3" customWidth="1"/>
    <col min="11" max="16384" width="9.140625" style="3" customWidth="1"/>
  </cols>
  <sheetData>
    <row r="1" ht="12.75">
      <c r="J1" s="12" t="s">
        <v>159</v>
      </c>
    </row>
    <row r="2" spans="1:9" ht="15.75">
      <c r="A2" s="101" t="s">
        <v>128</v>
      </c>
      <c r="B2" s="39"/>
      <c r="C2" s="39"/>
      <c r="D2" s="39"/>
      <c r="E2" s="39"/>
      <c r="F2" s="39"/>
      <c r="G2" s="39"/>
      <c r="H2" s="39"/>
      <c r="I2" s="39"/>
    </row>
    <row r="3" ht="12.75">
      <c r="A3" s="12"/>
    </row>
    <row r="4" spans="1:2" ht="12.75">
      <c r="A4" s="12" t="s">
        <v>78</v>
      </c>
      <c r="B4" s="127">
        <v>0.35</v>
      </c>
    </row>
    <row r="5" spans="1:2" ht="12.75">
      <c r="A5" s="12"/>
      <c r="B5" s="110"/>
    </row>
    <row r="6" spans="1:4" ht="12.75">
      <c r="A6" s="12"/>
      <c r="B6" s="196" t="s">
        <v>20</v>
      </c>
      <c r="C6" s="4" t="s">
        <v>123</v>
      </c>
      <c r="D6" s="4" t="s">
        <v>136</v>
      </c>
    </row>
    <row r="7" spans="1:5" ht="12.75">
      <c r="A7" s="12" t="s">
        <v>134</v>
      </c>
      <c r="B7" s="15">
        <f>'Ind - Gross'!F29/Scale</f>
        <v>18</v>
      </c>
      <c r="C7" s="194">
        <f>SUM(E17:E34)/Scale</f>
        <v>0.018</v>
      </c>
      <c r="D7" s="193">
        <f>+B7-C7</f>
        <v>17.982</v>
      </c>
      <c r="E7" s="3" t="str">
        <f>ScaleW</f>
        <v>(millions)</v>
      </c>
    </row>
    <row r="8" spans="1:7" ht="12.75">
      <c r="A8" s="12"/>
      <c r="C8" s="195"/>
      <c r="E8" s="99"/>
      <c r="F8" s="100"/>
      <c r="G8" s="37"/>
    </row>
    <row r="9" spans="1:7" ht="12.75">
      <c r="A9" s="99" t="s">
        <v>135</v>
      </c>
      <c r="B9" s="15">
        <f>+'Group - Gross'!F29/Scale</f>
        <v>18</v>
      </c>
      <c r="C9" s="194">
        <f>SUM(I17:I34)/Scale</f>
        <v>0.018</v>
      </c>
      <c r="D9" s="193">
        <f>+B9-C9</f>
        <v>17.982</v>
      </c>
      <c r="E9" s="37" t="str">
        <f>ScaleW</f>
        <v>(millions)</v>
      </c>
      <c r="F9" s="100"/>
      <c r="G9" s="37"/>
    </row>
    <row r="10" spans="1:8" ht="12.75">
      <c r="A10" s="99"/>
      <c r="B10" s="200"/>
      <c r="C10" s="37"/>
      <c r="F10" s="99"/>
      <c r="G10" s="100"/>
      <c r="H10" s="37"/>
    </row>
    <row r="11" spans="2:9" s="37" customFormat="1" ht="12.75">
      <c r="B11" s="170" t="s">
        <v>129</v>
      </c>
      <c r="C11" s="171"/>
      <c r="D11" s="171"/>
      <c r="E11" s="171"/>
      <c r="F11" s="170" t="s">
        <v>130</v>
      </c>
      <c r="G11" s="171"/>
      <c r="H11" s="171"/>
      <c r="I11" s="171"/>
    </row>
    <row r="12" spans="2:9" s="37" customFormat="1" ht="4.5" customHeight="1">
      <c r="B12" s="170"/>
      <c r="C12" s="171"/>
      <c r="D12" s="171"/>
      <c r="E12" s="171"/>
      <c r="F12" s="170"/>
      <c r="G12" s="171"/>
      <c r="H12" s="171"/>
      <c r="I12" s="171"/>
    </row>
    <row r="13" spans="2:9" ht="12.75">
      <c r="B13" s="172" t="s">
        <v>17</v>
      </c>
      <c r="C13" s="173" t="s">
        <v>9</v>
      </c>
      <c r="D13" s="173" t="s">
        <v>13</v>
      </c>
      <c r="E13" s="173" t="s">
        <v>19</v>
      </c>
      <c r="F13" s="172" t="s">
        <v>17</v>
      </c>
      <c r="G13" s="173" t="s">
        <v>9</v>
      </c>
      <c r="H13" s="173" t="s">
        <v>13</v>
      </c>
      <c r="I13" s="174" t="s">
        <v>19</v>
      </c>
    </row>
    <row r="14" spans="2:9" ht="12.75">
      <c r="B14" s="105" t="s">
        <v>57</v>
      </c>
      <c r="C14" s="106" t="s">
        <v>96</v>
      </c>
      <c r="D14" s="72" t="s">
        <v>1</v>
      </c>
      <c r="E14" s="72" t="s">
        <v>123</v>
      </c>
      <c r="F14" s="105" t="s">
        <v>57</v>
      </c>
      <c r="G14" s="106" t="s">
        <v>152</v>
      </c>
      <c r="H14" s="72" t="s">
        <v>1</v>
      </c>
      <c r="I14" s="104" t="s">
        <v>123</v>
      </c>
    </row>
    <row r="15" spans="1:9" ht="12.75">
      <c r="A15" s="12" t="s">
        <v>5</v>
      </c>
      <c r="B15" s="116">
        <v>-4</v>
      </c>
      <c r="C15" s="125">
        <f>+B15-1</f>
        <v>-5</v>
      </c>
      <c r="D15" s="125">
        <f aca="true" t="shared" si="0" ref="D15:I15">+C15-1</f>
        <v>-6</v>
      </c>
      <c r="E15" s="125">
        <f t="shared" si="0"/>
        <v>-7</v>
      </c>
      <c r="F15" s="116">
        <f>+E15-1</f>
        <v>-8</v>
      </c>
      <c r="G15" s="125">
        <f t="shared" si="0"/>
        <v>-9</v>
      </c>
      <c r="H15" s="125">
        <f t="shared" si="0"/>
        <v>-10</v>
      </c>
      <c r="I15" s="117">
        <f t="shared" si="0"/>
        <v>-11</v>
      </c>
    </row>
    <row r="16" spans="1:9" ht="3.75" customHeight="1">
      <c r="A16" s="12"/>
      <c r="B16" s="46"/>
      <c r="C16" s="59"/>
      <c r="D16" s="59"/>
      <c r="E16" s="59"/>
      <c r="F16" s="46"/>
      <c r="G16" s="59"/>
      <c r="H16" s="59"/>
      <c r="I16" s="107"/>
    </row>
    <row r="17" spans="1:12" ht="12.75">
      <c r="A17" s="155" t="str">
        <f>+'Scenario Inputs'!A21</f>
        <v>0 - 4</v>
      </c>
      <c r="B17" s="108">
        <v>1</v>
      </c>
      <c r="C17" s="102">
        <v>1000</v>
      </c>
      <c r="D17" s="102">
        <v>1000</v>
      </c>
      <c r="E17" s="102">
        <v>1000</v>
      </c>
      <c r="F17" s="108">
        <v>1</v>
      </c>
      <c r="G17" s="102">
        <v>1000</v>
      </c>
      <c r="H17" s="102">
        <v>1000</v>
      </c>
      <c r="I17" s="178">
        <v>1000</v>
      </c>
      <c r="K17" s="103"/>
      <c r="L17" s="59"/>
    </row>
    <row r="18" spans="1:12" ht="12.75">
      <c r="A18" s="155" t="str">
        <f>+'Scenario Inputs'!A22</f>
        <v>5 - 9</v>
      </c>
      <c r="B18" s="108">
        <v>1</v>
      </c>
      <c r="C18" s="102">
        <v>1000</v>
      </c>
      <c r="D18" s="102">
        <v>1000</v>
      </c>
      <c r="E18" s="102">
        <v>1000</v>
      </c>
      <c r="F18" s="108">
        <v>1</v>
      </c>
      <c r="G18" s="102">
        <v>1000</v>
      </c>
      <c r="H18" s="102">
        <v>1000</v>
      </c>
      <c r="I18" s="178">
        <v>1000</v>
      </c>
      <c r="K18" s="103"/>
      <c r="L18" s="59"/>
    </row>
    <row r="19" spans="1:12" ht="12.75">
      <c r="A19" s="155" t="str">
        <f>+'Scenario Inputs'!A23</f>
        <v>10 - 14</v>
      </c>
      <c r="B19" s="108">
        <v>1</v>
      </c>
      <c r="C19" s="102">
        <v>1000</v>
      </c>
      <c r="D19" s="102">
        <v>1000</v>
      </c>
      <c r="E19" s="102">
        <v>1000</v>
      </c>
      <c r="F19" s="108">
        <v>1</v>
      </c>
      <c r="G19" s="102">
        <v>1000</v>
      </c>
      <c r="H19" s="102">
        <v>1000</v>
      </c>
      <c r="I19" s="178">
        <v>1000</v>
      </c>
      <c r="K19" s="103"/>
      <c r="L19" s="59"/>
    </row>
    <row r="20" spans="1:12" ht="12.75">
      <c r="A20" s="155" t="str">
        <f>+'Scenario Inputs'!A24</f>
        <v>15 - 19</v>
      </c>
      <c r="B20" s="108">
        <v>1</v>
      </c>
      <c r="C20" s="102">
        <v>1000</v>
      </c>
      <c r="D20" s="102">
        <v>1000</v>
      </c>
      <c r="E20" s="102">
        <v>1000</v>
      </c>
      <c r="F20" s="108">
        <v>1</v>
      </c>
      <c r="G20" s="102">
        <v>1000</v>
      </c>
      <c r="H20" s="102">
        <v>1000</v>
      </c>
      <c r="I20" s="178">
        <v>1000</v>
      </c>
      <c r="K20" s="103"/>
      <c r="L20" s="59"/>
    </row>
    <row r="21" spans="1:12" ht="12.75">
      <c r="A21" s="155" t="str">
        <f>+'Scenario Inputs'!A25</f>
        <v>20 - 24</v>
      </c>
      <c r="B21" s="108">
        <v>1</v>
      </c>
      <c r="C21" s="102">
        <v>1000</v>
      </c>
      <c r="D21" s="102">
        <v>1000</v>
      </c>
      <c r="E21" s="102">
        <v>1000</v>
      </c>
      <c r="F21" s="108">
        <v>1</v>
      </c>
      <c r="G21" s="102">
        <v>1000</v>
      </c>
      <c r="H21" s="102">
        <v>1000</v>
      </c>
      <c r="I21" s="178">
        <v>1000</v>
      </c>
      <c r="K21" s="103"/>
      <c r="L21" s="59"/>
    </row>
    <row r="22" spans="1:12" ht="12.75">
      <c r="A22" s="155" t="str">
        <f>+'Scenario Inputs'!A26</f>
        <v>25 - 29</v>
      </c>
      <c r="B22" s="108">
        <v>1</v>
      </c>
      <c r="C22" s="102">
        <v>1000</v>
      </c>
      <c r="D22" s="102">
        <v>1000</v>
      </c>
      <c r="E22" s="102">
        <v>1000</v>
      </c>
      <c r="F22" s="108">
        <v>1</v>
      </c>
      <c r="G22" s="102">
        <v>1000</v>
      </c>
      <c r="H22" s="102">
        <v>1000</v>
      </c>
      <c r="I22" s="178">
        <v>1000</v>
      </c>
      <c r="K22" s="103"/>
      <c r="L22" s="59"/>
    </row>
    <row r="23" spans="1:12" ht="12.75">
      <c r="A23" s="155" t="str">
        <f>+'Scenario Inputs'!A27</f>
        <v>30 - 34</v>
      </c>
      <c r="B23" s="108">
        <v>1</v>
      </c>
      <c r="C23" s="102">
        <v>1000</v>
      </c>
      <c r="D23" s="102">
        <v>1000</v>
      </c>
      <c r="E23" s="102">
        <v>1000</v>
      </c>
      <c r="F23" s="108">
        <v>1</v>
      </c>
      <c r="G23" s="102">
        <v>1000</v>
      </c>
      <c r="H23" s="102">
        <v>1000</v>
      </c>
      <c r="I23" s="178">
        <v>1000</v>
      </c>
      <c r="K23" s="103"/>
      <c r="L23" s="59"/>
    </row>
    <row r="24" spans="1:12" ht="12.75">
      <c r="A24" s="155" t="str">
        <f>+'Scenario Inputs'!A28</f>
        <v>35 - 39</v>
      </c>
      <c r="B24" s="108">
        <v>1</v>
      </c>
      <c r="C24" s="102">
        <v>1000</v>
      </c>
      <c r="D24" s="102">
        <v>1000</v>
      </c>
      <c r="E24" s="102">
        <v>1000</v>
      </c>
      <c r="F24" s="108">
        <v>1</v>
      </c>
      <c r="G24" s="102">
        <v>1000</v>
      </c>
      <c r="H24" s="102">
        <v>1000</v>
      </c>
      <c r="I24" s="178">
        <v>1000</v>
      </c>
      <c r="K24" s="103"/>
      <c r="L24" s="59"/>
    </row>
    <row r="25" spans="1:12" ht="12.75">
      <c r="A25" s="155" t="str">
        <f>+'Scenario Inputs'!A29</f>
        <v>40 - 44</v>
      </c>
      <c r="B25" s="108">
        <v>1</v>
      </c>
      <c r="C25" s="102">
        <v>1000</v>
      </c>
      <c r="D25" s="102">
        <v>1000</v>
      </c>
      <c r="E25" s="102">
        <v>1000</v>
      </c>
      <c r="F25" s="108">
        <v>1</v>
      </c>
      <c r="G25" s="102">
        <v>1000</v>
      </c>
      <c r="H25" s="102">
        <v>1000</v>
      </c>
      <c r="I25" s="178">
        <v>1000</v>
      </c>
      <c r="K25" s="103"/>
      <c r="L25" s="59"/>
    </row>
    <row r="26" spans="1:12" ht="12.75">
      <c r="A26" s="155" t="str">
        <f>+'Scenario Inputs'!A30</f>
        <v>45 - 49</v>
      </c>
      <c r="B26" s="108">
        <v>1</v>
      </c>
      <c r="C26" s="102">
        <v>1000</v>
      </c>
      <c r="D26" s="102">
        <v>1000</v>
      </c>
      <c r="E26" s="102">
        <v>1000</v>
      </c>
      <c r="F26" s="108">
        <v>1</v>
      </c>
      <c r="G26" s="102">
        <v>1000</v>
      </c>
      <c r="H26" s="102">
        <v>1000</v>
      </c>
      <c r="I26" s="178">
        <v>1000</v>
      </c>
      <c r="K26" s="103"/>
      <c r="L26" s="59"/>
    </row>
    <row r="27" spans="1:12" ht="12.75">
      <c r="A27" s="155" t="str">
        <f>+'Scenario Inputs'!A31</f>
        <v>50 - 54</v>
      </c>
      <c r="B27" s="108">
        <v>1</v>
      </c>
      <c r="C27" s="102">
        <v>1000</v>
      </c>
      <c r="D27" s="102">
        <v>1000</v>
      </c>
      <c r="E27" s="102">
        <v>1000</v>
      </c>
      <c r="F27" s="108">
        <v>1</v>
      </c>
      <c r="G27" s="102">
        <v>1000</v>
      </c>
      <c r="H27" s="102">
        <v>1000</v>
      </c>
      <c r="I27" s="178">
        <v>1000</v>
      </c>
      <c r="K27" s="103"/>
      <c r="L27" s="59"/>
    </row>
    <row r="28" spans="1:12" ht="12.75">
      <c r="A28" s="155" t="str">
        <f>+'Scenario Inputs'!A32</f>
        <v>55 - 59</v>
      </c>
      <c r="B28" s="108">
        <v>1</v>
      </c>
      <c r="C28" s="102">
        <v>1000</v>
      </c>
      <c r="D28" s="102">
        <v>1000</v>
      </c>
      <c r="E28" s="102">
        <v>1000</v>
      </c>
      <c r="F28" s="108">
        <v>1</v>
      </c>
      <c r="G28" s="102">
        <v>1000</v>
      </c>
      <c r="H28" s="102">
        <v>1000</v>
      </c>
      <c r="I28" s="178">
        <v>1000</v>
      </c>
      <c r="K28" s="103"/>
      <c r="L28" s="59"/>
    </row>
    <row r="29" spans="1:12" ht="12.75">
      <c r="A29" s="155" t="str">
        <f>+'Scenario Inputs'!A33</f>
        <v>60 - 64</v>
      </c>
      <c r="B29" s="108">
        <v>1</v>
      </c>
      <c r="C29" s="102">
        <v>1000</v>
      </c>
      <c r="D29" s="102">
        <v>1000</v>
      </c>
      <c r="E29" s="102">
        <v>1000</v>
      </c>
      <c r="F29" s="108">
        <v>1</v>
      </c>
      <c r="G29" s="102">
        <v>1000</v>
      </c>
      <c r="H29" s="102">
        <v>1000</v>
      </c>
      <c r="I29" s="178">
        <v>1000</v>
      </c>
      <c r="K29" s="103"/>
      <c r="L29" s="59"/>
    </row>
    <row r="30" spans="1:12" ht="12.75">
      <c r="A30" s="155" t="str">
        <f>+'Scenario Inputs'!A34</f>
        <v>65 - 69</v>
      </c>
      <c r="B30" s="108">
        <v>1</v>
      </c>
      <c r="C30" s="102">
        <v>1000</v>
      </c>
      <c r="D30" s="102">
        <v>1000</v>
      </c>
      <c r="E30" s="102">
        <v>1000</v>
      </c>
      <c r="F30" s="108">
        <v>1</v>
      </c>
      <c r="G30" s="102">
        <v>1000</v>
      </c>
      <c r="H30" s="102">
        <v>1000</v>
      </c>
      <c r="I30" s="178">
        <v>1000</v>
      </c>
      <c r="K30" s="103"/>
      <c r="L30" s="59"/>
    </row>
    <row r="31" spans="1:12" ht="12.75">
      <c r="A31" s="155" t="str">
        <f>+'Scenario Inputs'!A35</f>
        <v>70 - 74</v>
      </c>
      <c r="B31" s="108">
        <v>1</v>
      </c>
      <c r="C31" s="102">
        <v>1000</v>
      </c>
      <c r="D31" s="102">
        <v>1000</v>
      </c>
      <c r="E31" s="102">
        <v>1000</v>
      </c>
      <c r="F31" s="108">
        <v>1</v>
      </c>
      <c r="G31" s="102">
        <v>1000</v>
      </c>
      <c r="H31" s="102">
        <v>1000</v>
      </c>
      <c r="I31" s="178">
        <v>1000</v>
      </c>
      <c r="K31" s="103"/>
      <c r="L31" s="59"/>
    </row>
    <row r="32" spans="1:12" ht="12.75">
      <c r="A32" s="155" t="str">
        <f>+'Scenario Inputs'!A36</f>
        <v>75 - 79</v>
      </c>
      <c r="B32" s="108">
        <v>1</v>
      </c>
      <c r="C32" s="102">
        <v>1000</v>
      </c>
      <c r="D32" s="102">
        <v>1000</v>
      </c>
      <c r="E32" s="102">
        <v>1000</v>
      </c>
      <c r="F32" s="108">
        <v>1</v>
      </c>
      <c r="G32" s="102">
        <v>1000</v>
      </c>
      <c r="H32" s="102">
        <v>1000</v>
      </c>
      <c r="I32" s="178">
        <v>1000</v>
      </c>
      <c r="K32" s="103"/>
      <c r="L32" s="59"/>
    </row>
    <row r="33" spans="1:12" ht="12.75">
      <c r="A33" s="155" t="str">
        <f>+'Scenario Inputs'!A37</f>
        <v>80 - 84</v>
      </c>
      <c r="B33" s="108">
        <v>1</v>
      </c>
      <c r="C33" s="102">
        <v>1000</v>
      </c>
      <c r="D33" s="102">
        <v>1000</v>
      </c>
      <c r="E33" s="102">
        <v>1000</v>
      </c>
      <c r="F33" s="108">
        <v>1</v>
      </c>
      <c r="G33" s="102">
        <v>1000</v>
      </c>
      <c r="H33" s="102">
        <v>1000</v>
      </c>
      <c r="I33" s="178">
        <v>1000</v>
      </c>
      <c r="K33" s="103"/>
      <c r="L33" s="59"/>
    </row>
    <row r="34" spans="1:12" ht="12.75">
      <c r="A34" s="156" t="str">
        <f>+'Scenario Inputs'!A38</f>
        <v>85+</v>
      </c>
      <c r="B34" s="109">
        <v>1</v>
      </c>
      <c r="C34" s="53">
        <v>1000</v>
      </c>
      <c r="D34" s="53">
        <v>1000</v>
      </c>
      <c r="E34" s="53">
        <v>1000</v>
      </c>
      <c r="F34" s="109">
        <v>1</v>
      </c>
      <c r="G34" s="53">
        <v>1000</v>
      </c>
      <c r="H34" s="53">
        <v>1000</v>
      </c>
      <c r="I34" s="179">
        <v>1000</v>
      </c>
      <c r="K34" s="103"/>
      <c r="L34" s="59"/>
    </row>
    <row r="35" spans="3:12" ht="12.75">
      <c r="C35" s="12"/>
      <c r="D35" s="7"/>
      <c r="E35" s="7"/>
      <c r="I35" s="158"/>
      <c r="K35" s="132"/>
      <c r="L35" s="59"/>
    </row>
    <row r="36" ht="12.75">
      <c r="B36" s="130" t="s">
        <v>29</v>
      </c>
    </row>
    <row r="37" spans="1:8" ht="12.75">
      <c r="A37" s="56">
        <v>-1</v>
      </c>
      <c r="B37" s="3" t="s">
        <v>121</v>
      </c>
      <c r="F37" s="56">
        <f>+A42-1</f>
        <v>-7</v>
      </c>
      <c r="G37" s="3" t="s">
        <v>124</v>
      </c>
      <c r="H37" s="37"/>
    </row>
    <row r="38" spans="1:7" ht="12.75">
      <c r="A38" s="56">
        <f>+A37-1</f>
        <v>-2</v>
      </c>
      <c r="B38" s="3" t="s">
        <v>168</v>
      </c>
      <c r="F38" s="56">
        <f>+F37-1</f>
        <v>-8</v>
      </c>
      <c r="G38" s="3" t="s">
        <v>124</v>
      </c>
    </row>
    <row r="39" spans="1:7" ht="12.75">
      <c r="A39" s="56">
        <f>+A38-1</f>
        <v>-3</v>
      </c>
      <c r="B39" s="3" t="s">
        <v>169</v>
      </c>
      <c r="F39" s="56">
        <f>+F38-1</f>
        <v>-9</v>
      </c>
      <c r="G39" s="3" t="s">
        <v>157</v>
      </c>
    </row>
    <row r="40" spans="1:7" ht="12.75">
      <c r="A40" s="56">
        <f>+A39-1</f>
        <v>-4</v>
      </c>
      <c r="B40" s="3" t="s">
        <v>124</v>
      </c>
      <c r="G40" s="3" t="s">
        <v>156</v>
      </c>
    </row>
    <row r="41" spans="1:7" ht="12.75">
      <c r="A41" s="56">
        <f>+A40-1</f>
        <v>-5</v>
      </c>
      <c r="B41" s="3" t="s">
        <v>153</v>
      </c>
      <c r="F41" s="56">
        <f>+F39-1</f>
        <v>-10</v>
      </c>
      <c r="G41" s="3" t="s">
        <v>155</v>
      </c>
    </row>
    <row r="42" spans="1:7" ht="12.75">
      <c r="A42" s="56">
        <f>+A41-1</f>
        <v>-6</v>
      </c>
      <c r="B42" s="3" t="s">
        <v>154</v>
      </c>
      <c r="C42" s="37"/>
      <c r="D42" s="37"/>
      <c r="F42" s="56">
        <f>+F41-1</f>
        <v>-11</v>
      </c>
      <c r="G42" s="3" t="s">
        <v>124</v>
      </c>
    </row>
    <row r="43" spans="3:4" ht="12.75">
      <c r="C43" s="37"/>
      <c r="D43" s="37"/>
    </row>
  </sheetData>
  <printOptions horizontalCentered="1"/>
  <pageMargins left="0.5" right="0.5" top="0.5" bottom="0.75" header="0.5" footer="0.35"/>
  <pageSetup fitToHeight="1" fitToWidth="1" horizontalDpi="600" verticalDpi="600" orientation="landscape" scale="97" r:id="rId1"/>
  <headerFooter alignWithMargins="0">
    <oddFooter>&amp;L&amp;8&amp;F  &amp;A&amp;C&amp;8MBA Actuaries, Inc.&amp;R&amp;8&amp;D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5.7109375" style="3" customWidth="1"/>
    <col min="3" max="3" width="15.421875" style="3" customWidth="1"/>
    <col min="4" max="4" width="15.8515625" style="3" customWidth="1"/>
    <col min="5" max="5" width="16.57421875" style="3" bestFit="1" customWidth="1"/>
    <col min="6" max="6" width="9.28125" style="3" bestFit="1" customWidth="1"/>
    <col min="7" max="7" width="14.8515625" style="3" customWidth="1"/>
    <col min="8" max="8" width="2.00390625" style="3" customWidth="1"/>
    <col min="9" max="16384" width="9.140625" style="3" customWidth="1"/>
  </cols>
  <sheetData>
    <row r="1" ht="12.75">
      <c r="H1" s="12" t="str">
        <f>+'Format Vars'!B5</f>
        <v> Exhibit 2, Page 1</v>
      </c>
    </row>
    <row r="2" spans="1:7" ht="18">
      <c r="A2" s="70" t="str">
        <f>"Total Net Life Insurance Claims -  "&amp;scenario</f>
        <v>Total Net Life Insurance Claims -  Moderate Scenario</v>
      </c>
      <c r="B2" s="39"/>
      <c r="C2" s="39"/>
      <c r="D2" s="39"/>
      <c r="E2" s="39"/>
      <c r="F2" s="39"/>
      <c r="G2" s="39"/>
    </row>
    <row r="3" spans="1:7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</row>
    <row r="5" ht="12.75">
      <c r="C5" s="39"/>
    </row>
    <row r="6" spans="2:7" ht="12.75">
      <c r="B6" s="4" t="s">
        <v>20</v>
      </c>
      <c r="C6" s="4" t="s">
        <v>17</v>
      </c>
      <c r="D6" s="4" t="s">
        <v>19</v>
      </c>
      <c r="E6" s="4" t="s">
        <v>33</v>
      </c>
      <c r="G6" s="4" t="s">
        <v>33</v>
      </c>
    </row>
    <row r="7" spans="2:7" ht="12.75">
      <c r="B7" s="4" t="s">
        <v>2</v>
      </c>
      <c r="C7" s="4" t="s">
        <v>18</v>
      </c>
      <c r="D7" s="4" t="s">
        <v>31</v>
      </c>
      <c r="E7" s="4" t="s">
        <v>34</v>
      </c>
      <c r="F7" s="4" t="s">
        <v>106</v>
      </c>
      <c r="G7" s="4" t="s">
        <v>35</v>
      </c>
    </row>
    <row r="8" spans="1:7" ht="12.75">
      <c r="A8" s="4" t="s">
        <v>5</v>
      </c>
      <c r="B8" s="48">
        <v>-1</v>
      </c>
      <c r="C8" s="48">
        <f>+B8-1</f>
        <v>-2</v>
      </c>
      <c r="D8" s="48">
        <f>+C8-1</f>
        <v>-3</v>
      </c>
      <c r="E8" s="48">
        <f>+D8-1</f>
        <v>-4</v>
      </c>
      <c r="F8" s="48">
        <f>+E8-1</f>
        <v>-5</v>
      </c>
      <c r="G8" s="48">
        <f>+F8-1</f>
        <v>-6</v>
      </c>
    </row>
    <row r="9" ht="4.5" customHeight="1"/>
    <row r="10" spans="1:7" ht="12.75">
      <c r="A10" s="83" t="str">
        <f>+'Scenario Inputs'!A21</f>
        <v>0 - 4</v>
      </c>
      <c r="B10" s="7">
        <f>+'Total - Gross'!L10</f>
        <v>1420</v>
      </c>
      <c r="C10" s="7">
        <f>+'Ind - Net'!F10+'Group - Net'!F10</f>
        <v>1.41858</v>
      </c>
      <c r="D10" s="7">
        <f>+'Total - Reins'!G10</f>
        <v>1.42</v>
      </c>
      <c r="E10" s="9">
        <f aca="true" t="shared" si="0" ref="E10:E27">+B10-C10-D10</f>
        <v>1417.16142</v>
      </c>
      <c r="F10" s="86">
        <f aca="true" t="shared" si="1" ref="F10:F27">TaxOffset</f>
        <v>0.35</v>
      </c>
      <c r="G10" s="7">
        <f aca="true" t="shared" si="2" ref="G10:G27">+E10*(1-F10)</f>
        <v>921.1549229999999</v>
      </c>
    </row>
    <row r="11" spans="1:7" ht="12.75">
      <c r="A11" s="83" t="str">
        <f>+'Scenario Inputs'!A22</f>
        <v>5 - 9</v>
      </c>
      <c r="B11" s="7">
        <f>+'Total - Gross'!L11</f>
        <v>280</v>
      </c>
      <c r="C11" s="7">
        <f>+'Ind - Net'!F11+'Group - Net'!F11</f>
        <v>0.27972</v>
      </c>
      <c r="D11" s="7">
        <f>+'Total - Reins'!G11</f>
        <v>0.28</v>
      </c>
      <c r="E11" s="9">
        <f t="shared" si="0"/>
        <v>279.44028000000003</v>
      </c>
      <c r="F11" s="86">
        <f t="shared" si="1"/>
        <v>0.35</v>
      </c>
      <c r="G11" s="7">
        <f t="shared" si="2"/>
        <v>181.63618200000002</v>
      </c>
    </row>
    <row r="12" spans="1:7" ht="12.75">
      <c r="A12" s="83" t="str">
        <f>+'Scenario Inputs'!A23</f>
        <v>10 - 14</v>
      </c>
      <c r="B12" s="7">
        <f>+'Total - Gross'!L12</f>
        <v>280</v>
      </c>
      <c r="C12" s="7">
        <f>+'Ind - Net'!F12+'Group - Net'!F12</f>
        <v>0.27972</v>
      </c>
      <c r="D12" s="7">
        <f>+'Total - Reins'!G12</f>
        <v>0.28</v>
      </c>
      <c r="E12" s="9">
        <f t="shared" si="0"/>
        <v>279.44028000000003</v>
      </c>
      <c r="F12" s="86">
        <f t="shared" si="1"/>
        <v>0.35</v>
      </c>
      <c r="G12" s="7">
        <f t="shared" si="2"/>
        <v>181.63618200000002</v>
      </c>
    </row>
    <row r="13" spans="1:7" ht="12.75">
      <c r="A13" s="83" t="str">
        <f>+'Scenario Inputs'!A24</f>
        <v>15 - 19</v>
      </c>
      <c r="B13" s="7">
        <f>+'Total - Gross'!L13</f>
        <v>840</v>
      </c>
      <c r="C13" s="7">
        <f>+'Ind - Net'!F13+'Group - Net'!F13</f>
        <v>0.83916</v>
      </c>
      <c r="D13" s="7">
        <f>+'Total - Reins'!G13</f>
        <v>0.84</v>
      </c>
      <c r="E13" s="9">
        <f t="shared" si="0"/>
        <v>838.32084</v>
      </c>
      <c r="F13" s="86">
        <f t="shared" si="1"/>
        <v>0.35</v>
      </c>
      <c r="G13" s="7">
        <f t="shared" si="2"/>
        <v>544.908546</v>
      </c>
    </row>
    <row r="14" spans="1:7" ht="12.75">
      <c r="A14" s="83" t="str">
        <f>+'Scenario Inputs'!A25</f>
        <v>20 - 24</v>
      </c>
      <c r="B14" s="7">
        <f>+'Total - Gross'!L14</f>
        <v>1220</v>
      </c>
      <c r="C14" s="7">
        <f>+'Ind - Net'!F14+'Group - Net'!F14</f>
        <v>1.21878</v>
      </c>
      <c r="D14" s="7">
        <f>+'Total - Reins'!G14</f>
        <v>1.22</v>
      </c>
      <c r="E14" s="9">
        <f t="shared" si="0"/>
        <v>1217.56122</v>
      </c>
      <c r="F14" s="86">
        <f t="shared" si="1"/>
        <v>0.35</v>
      </c>
      <c r="G14" s="7">
        <f t="shared" si="2"/>
        <v>791.414793</v>
      </c>
    </row>
    <row r="15" spans="1:7" ht="12.75">
      <c r="A15" s="83" t="str">
        <f>+'Scenario Inputs'!A26</f>
        <v>25 - 29</v>
      </c>
      <c r="B15" s="7">
        <f>+'Total - Gross'!L15</f>
        <v>1780</v>
      </c>
      <c r="C15" s="7">
        <f>+'Ind - Net'!F15+'Group - Net'!F15</f>
        <v>1.7782200000000001</v>
      </c>
      <c r="D15" s="7">
        <f>+'Total - Reins'!G15</f>
        <v>1.78</v>
      </c>
      <c r="E15" s="9">
        <f t="shared" si="0"/>
        <v>1776.44178</v>
      </c>
      <c r="F15" s="86">
        <f t="shared" si="1"/>
        <v>0.35</v>
      </c>
      <c r="G15" s="7">
        <f t="shared" si="2"/>
        <v>1154.687157</v>
      </c>
    </row>
    <row r="16" spans="1:7" ht="12.75">
      <c r="A16" s="83" t="str">
        <f>+'Scenario Inputs'!A27</f>
        <v>30 - 34</v>
      </c>
      <c r="B16" s="7">
        <f>+'Total - Gross'!L16</f>
        <v>1780</v>
      </c>
      <c r="C16" s="7">
        <f>+'Ind - Net'!F16+'Group - Net'!F16</f>
        <v>1.7782200000000001</v>
      </c>
      <c r="D16" s="7">
        <f>+'Total - Reins'!G16</f>
        <v>1.78</v>
      </c>
      <c r="E16" s="9">
        <f t="shared" si="0"/>
        <v>1776.44178</v>
      </c>
      <c r="F16" s="86">
        <f t="shared" si="1"/>
        <v>0.35</v>
      </c>
      <c r="G16" s="7">
        <f t="shared" si="2"/>
        <v>1154.687157</v>
      </c>
    </row>
    <row r="17" spans="1:7" ht="12.75">
      <c r="A17" s="83" t="str">
        <f>+'Scenario Inputs'!A28</f>
        <v>35 - 39</v>
      </c>
      <c r="B17" s="7">
        <f>+'Total - Gross'!L17</f>
        <v>1040</v>
      </c>
      <c r="C17" s="7">
        <f>+'Ind - Net'!F17+'Group - Net'!F17</f>
        <v>1.03896</v>
      </c>
      <c r="D17" s="7">
        <f>+'Total - Reins'!G17</f>
        <v>1.04</v>
      </c>
      <c r="E17" s="9">
        <f t="shared" si="0"/>
        <v>1037.92104</v>
      </c>
      <c r="F17" s="86">
        <f t="shared" si="1"/>
        <v>0.35</v>
      </c>
      <c r="G17" s="7">
        <f t="shared" si="2"/>
        <v>674.648676</v>
      </c>
    </row>
    <row r="18" spans="1:7" ht="12.75">
      <c r="A18" s="83" t="str">
        <f>+'Scenario Inputs'!A29</f>
        <v>40 - 44</v>
      </c>
      <c r="B18" s="7">
        <f>+'Total - Gross'!L18</f>
        <v>840</v>
      </c>
      <c r="C18" s="7">
        <f>+'Ind - Net'!F18+'Group - Net'!F18</f>
        <v>0.83916</v>
      </c>
      <c r="D18" s="7">
        <f>+'Total - Reins'!G18</f>
        <v>0.84</v>
      </c>
      <c r="E18" s="9">
        <f t="shared" si="0"/>
        <v>838.32084</v>
      </c>
      <c r="F18" s="86">
        <f t="shared" si="1"/>
        <v>0.35</v>
      </c>
      <c r="G18" s="7">
        <f t="shared" si="2"/>
        <v>544.908546</v>
      </c>
    </row>
    <row r="19" spans="1:7" ht="12.75">
      <c r="A19" s="83" t="str">
        <f>+'Scenario Inputs'!A30</f>
        <v>45 - 49</v>
      </c>
      <c r="B19" s="7">
        <f>+'Total - Gross'!L19</f>
        <v>660</v>
      </c>
      <c r="C19" s="7">
        <f>+'Ind - Net'!F19+'Group - Net'!F19</f>
        <v>0.65934</v>
      </c>
      <c r="D19" s="7">
        <f>+'Total - Reins'!G19</f>
        <v>0.66</v>
      </c>
      <c r="E19" s="9">
        <f t="shared" si="0"/>
        <v>658.68066</v>
      </c>
      <c r="F19" s="86">
        <f t="shared" si="1"/>
        <v>0.35</v>
      </c>
      <c r="G19" s="7">
        <f t="shared" si="2"/>
        <v>428.142429</v>
      </c>
    </row>
    <row r="20" spans="1:7" ht="12.75">
      <c r="A20" s="83" t="str">
        <f>+'Scenario Inputs'!A31</f>
        <v>50 - 54</v>
      </c>
      <c r="B20" s="7">
        <f>+'Total - Gross'!L20</f>
        <v>480</v>
      </c>
      <c r="C20" s="7">
        <f>+'Ind - Net'!F20+'Group - Net'!F20</f>
        <v>0.47952</v>
      </c>
      <c r="D20" s="7">
        <f>+'Total - Reins'!G20</f>
        <v>0.48</v>
      </c>
      <c r="E20" s="9">
        <f t="shared" si="0"/>
        <v>479.04048</v>
      </c>
      <c r="F20" s="86">
        <f t="shared" si="1"/>
        <v>0.35</v>
      </c>
      <c r="G20" s="7">
        <f t="shared" si="2"/>
        <v>311.376312</v>
      </c>
    </row>
    <row r="21" spans="1:7" ht="12.75">
      <c r="A21" s="83" t="str">
        <f>+'Scenario Inputs'!A32</f>
        <v>55 - 59</v>
      </c>
      <c r="B21" s="7">
        <f>+'Total - Gross'!L21</f>
        <v>380</v>
      </c>
      <c r="C21" s="7">
        <f>+'Ind - Net'!F21+'Group - Net'!F21</f>
        <v>0.37962</v>
      </c>
      <c r="D21" s="7">
        <f>+'Total - Reins'!G21</f>
        <v>0.38</v>
      </c>
      <c r="E21" s="9">
        <f t="shared" si="0"/>
        <v>379.24038</v>
      </c>
      <c r="F21" s="86">
        <f t="shared" si="1"/>
        <v>0.35</v>
      </c>
      <c r="G21" s="7">
        <f t="shared" si="2"/>
        <v>246.50624700000003</v>
      </c>
    </row>
    <row r="22" spans="1:7" ht="12.75">
      <c r="A22" s="83" t="str">
        <f>+'Scenario Inputs'!A33</f>
        <v>60 - 64</v>
      </c>
      <c r="B22" s="7">
        <f>+'Total - Gross'!L22</f>
        <v>280</v>
      </c>
      <c r="C22" s="7">
        <f>+'Ind - Net'!F22+'Group - Net'!F22</f>
        <v>0.27972</v>
      </c>
      <c r="D22" s="7">
        <f>+'Total - Reins'!G22</f>
        <v>0.28</v>
      </c>
      <c r="E22" s="63">
        <f t="shared" si="0"/>
        <v>279.44028000000003</v>
      </c>
      <c r="F22" s="86">
        <f t="shared" si="1"/>
        <v>0.35</v>
      </c>
      <c r="G22" s="7">
        <f t="shared" si="2"/>
        <v>181.63618200000002</v>
      </c>
    </row>
    <row r="23" spans="1:7" ht="12.75">
      <c r="A23" s="83" t="str">
        <f>+'Scenario Inputs'!A34</f>
        <v>65 - 69</v>
      </c>
      <c r="B23" s="7">
        <f>+'Total - Gross'!L23</f>
        <v>180</v>
      </c>
      <c r="C23" s="7">
        <f>+'Ind - Net'!F23+'Group - Net'!F23</f>
        <v>0.17981999999999998</v>
      </c>
      <c r="D23" s="7">
        <f>+'Total - Reins'!G23</f>
        <v>0.18</v>
      </c>
      <c r="E23" s="63">
        <f t="shared" si="0"/>
        <v>179.64018</v>
      </c>
      <c r="F23" s="86">
        <f t="shared" si="1"/>
        <v>0.35</v>
      </c>
      <c r="G23" s="7">
        <f t="shared" si="2"/>
        <v>116.766117</v>
      </c>
    </row>
    <row r="24" spans="1:7" ht="12.75">
      <c r="A24" s="83" t="str">
        <f>+'Scenario Inputs'!A35</f>
        <v>70 - 74</v>
      </c>
      <c r="B24" s="7">
        <f>+'Total - Gross'!L24</f>
        <v>180</v>
      </c>
      <c r="C24" s="7">
        <f>+'Ind - Net'!F24+'Group - Net'!F24</f>
        <v>0.17981999999999998</v>
      </c>
      <c r="D24" s="7">
        <f>+'Total - Reins'!G24</f>
        <v>0.18</v>
      </c>
      <c r="E24" s="63">
        <f t="shared" si="0"/>
        <v>179.64018</v>
      </c>
      <c r="F24" s="86">
        <f t="shared" si="1"/>
        <v>0.35</v>
      </c>
      <c r="G24" s="7">
        <f t="shared" si="2"/>
        <v>116.766117</v>
      </c>
    </row>
    <row r="25" spans="1:7" ht="12.75">
      <c r="A25" s="83" t="str">
        <f>+'Scenario Inputs'!A36</f>
        <v>75 - 79</v>
      </c>
      <c r="B25" s="7">
        <f>+'Total - Gross'!L25</f>
        <v>100</v>
      </c>
      <c r="C25" s="7">
        <f>+'Ind - Net'!F25+'Group - Net'!F25</f>
        <v>0.0999</v>
      </c>
      <c r="D25" s="7">
        <f>+'Total - Reins'!G25</f>
        <v>0.1</v>
      </c>
      <c r="E25" s="63">
        <f t="shared" si="0"/>
        <v>99.8001</v>
      </c>
      <c r="F25" s="86">
        <f t="shared" si="1"/>
        <v>0.35</v>
      </c>
      <c r="G25" s="7">
        <f t="shared" si="2"/>
        <v>64.870065</v>
      </c>
    </row>
    <row r="26" spans="1:7" ht="12.75">
      <c r="A26" s="83" t="str">
        <f>+'Scenario Inputs'!A37</f>
        <v>80 - 84</v>
      </c>
      <c r="B26" s="7">
        <f>+'Total - Gross'!L26</f>
        <v>100</v>
      </c>
      <c r="C26" s="7">
        <f>+'Ind - Net'!F26+'Group - Net'!F26</f>
        <v>0.0999</v>
      </c>
      <c r="D26" s="7">
        <f>+'Total - Reins'!G26</f>
        <v>0.1</v>
      </c>
      <c r="E26" s="63">
        <f t="shared" si="0"/>
        <v>99.8001</v>
      </c>
      <c r="F26" s="86">
        <f t="shared" si="1"/>
        <v>0.35</v>
      </c>
      <c r="G26" s="7">
        <f t="shared" si="2"/>
        <v>64.870065</v>
      </c>
    </row>
    <row r="27" spans="1:7" ht="12.75">
      <c r="A27" s="50" t="str">
        <f>+'Scenario Inputs'!A38</f>
        <v>85+</v>
      </c>
      <c r="B27" s="52">
        <f>+'Total - Gross'!L27</f>
        <v>100</v>
      </c>
      <c r="C27" s="52">
        <f>+'Ind - Net'!F27+'Group - Net'!F27</f>
        <v>0.0999</v>
      </c>
      <c r="D27" s="52">
        <f>+'Total - Reins'!G27</f>
        <v>0.1</v>
      </c>
      <c r="E27" s="81">
        <f t="shared" si="0"/>
        <v>99.8001</v>
      </c>
      <c r="F27" s="87">
        <f t="shared" si="1"/>
        <v>0.35</v>
      </c>
      <c r="G27" s="52">
        <f t="shared" si="2"/>
        <v>64.870065</v>
      </c>
    </row>
    <row r="28" spans="1:7" ht="6" customHeight="1">
      <c r="A28" s="47"/>
      <c r="B28" s="182"/>
      <c r="C28" s="182"/>
      <c r="D28" s="182"/>
      <c r="E28" s="182"/>
      <c r="F28" s="182"/>
      <c r="G28" s="182"/>
    </row>
    <row r="29" spans="1:7" ht="12.75">
      <c r="A29" s="12" t="s">
        <v>3</v>
      </c>
      <c r="B29" s="182">
        <f>SUM(B10:B27)</f>
        <v>11940</v>
      </c>
      <c r="C29" s="182">
        <f>SUM(C10:C27)</f>
        <v>11.928059999999999</v>
      </c>
      <c r="D29" s="182">
        <f>SUM(D10:D27)</f>
        <v>11.94</v>
      </c>
      <c r="E29" s="182">
        <f>SUM(E10:E27)</f>
        <v>11916.131940000001</v>
      </c>
      <c r="F29" s="182"/>
      <c r="G29" s="182">
        <f>SUM(G10:G27)</f>
        <v>7745.485761000002</v>
      </c>
    </row>
    <row r="30" ht="12.75">
      <c r="C30" s="14"/>
    </row>
    <row r="31" ht="12.75">
      <c r="C31" s="14"/>
    </row>
    <row r="32" ht="12.75">
      <c r="B32" s="130" t="s">
        <v>29</v>
      </c>
    </row>
    <row r="33" spans="1:2" ht="12.75">
      <c r="A33" s="164">
        <v>1</v>
      </c>
      <c r="B33" s="3" t="str">
        <f>'Total - Gross'!M1&amp;", Column 11"</f>
        <v> Exhibit 2, Page 3, Column 11</v>
      </c>
    </row>
    <row r="34" spans="1:2" ht="12.75">
      <c r="A34" s="164">
        <v>2</v>
      </c>
      <c r="B34" s="37" t="str">
        <f>IF(Scen="M"," Exhibit 3, Page 1, Column 5 + Exhibit 4, Page 1, Column 5"," Exhibit 6, Page 1, Column 5 + Exhibit 7, Page 1, Column 5")</f>
        <v> Exhibit 3, Page 1, Column 5 + Exhibit 4, Page 1, Column 5</v>
      </c>
    </row>
    <row r="35" spans="1:7" ht="12.75">
      <c r="A35" s="165">
        <v>3</v>
      </c>
      <c r="B35" s="3" t="str">
        <f>+'Total - Reins'!H1&amp;", Column 6"</f>
        <v> Exhibit 2, Page 2, Column 6</v>
      </c>
      <c r="G35" s="7"/>
    </row>
    <row r="36" spans="1:4" ht="12.75">
      <c r="A36" s="165">
        <v>4</v>
      </c>
      <c r="B36" s="3" t="s">
        <v>107</v>
      </c>
      <c r="D36" s="37"/>
    </row>
    <row r="37" spans="1:4" ht="12.75">
      <c r="A37" s="165">
        <v>5</v>
      </c>
      <c r="B37" s="3" t="s">
        <v>113</v>
      </c>
      <c r="D37" s="37"/>
    </row>
    <row r="38" spans="1:4" ht="12.75">
      <c r="A38" s="165">
        <v>6</v>
      </c>
      <c r="B38" s="3" t="s">
        <v>108</v>
      </c>
      <c r="D38" s="37"/>
    </row>
    <row r="39" spans="1:4" ht="12.75">
      <c r="A39" s="56"/>
      <c r="C39" s="37"/>
      <c r="D39" s="37"/>
    </row>
    <row r="40" ht="12.75">
      <c r="A40" s="56"/>
    </row>
    <row r="41" ht="12.75">
      <c r="A41" s="56"/>
    </row>
    <row r="42" spans="1:3" ht="12.75">
      <c r="A42" s="56"/>
      <c r="C42" s="37"/>
    </row>
    <row r="43" spans="1:4" ht="12.75">
      <c r="A43" s="56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</sheetData>
  <printOptions horizontalCentered="1"/>
  <pageMargins left="0.5" right="0.5" top="0.75" bottom="0.75" header="0.5" footer="0.35"/>
  <pageSetup fitToHeight="1" fitToWidth="1" horizontalDpi="600" verticalDpi="600" orientation="landscape" r:id="rId1"/>
  <headerFooter alignWithMargins="0">
    <oddFooter>&amp;L&amp;8&amp;F  &amp;A&amp;C&amp;8MBA Actuaries, Inc.&amp;R&amp;8&amp;D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1.7109375" style="3" customWidth="1"/>
    <col min="3" max="3" width="15.7109375" style="3" customWidth="1"/>
    <col min="4" max="4" width="11.7109375" style="3" bestFit="1" customWidth="1"/>
    <col min="5" max="5" width="16.7109375" style="3" customWidth="1"/>
    <col min="6" max="6" width="14.140625" style="3" customWidth="1"/>
    <col min="7" max="7" width="17.28125" style="3" bestFit="1" customWidth="1"/>
    <col min="8" max="8" width="2.00390625" style="3" customWidth="1"/>
    <col min="9" max="9" width="9.140625" style="3" customWidth="1"/>
    <col min="10" max="10" width="19.421875" style="3" customWidth="1"/>
    <col min="11" max="16384" width="9.140625" style="3" customWidth="1"/>
  </cols>
  <sheetData>
    <row r="1" ht="12.75">
      <c r="H1" s="12" t="str">
        <f>+'Format Vars'!B6</f>
        <v> Exhibit 2, Page 2</v>
      </c>
    </row>
    <row r="2" spans="1:7" ht="18">
      <c r="A2" s="70" t="str">
        <f>"Reinsurance Analysis Total - "&amp;scenario</f>
        <v>Reinsurance Analysis Total - Moderate Scenario</v>
      </c>
      <c r="B2" s="39"/>
      <c r="C2" s="39"/>
      <c r="D2" s="39"/>
      <c r="E2" s="39"/>
      <c r="F2" s="39"/>
      <c r="G2" s="39"/>
    </row>
    <row r="3" spans="1:7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</row>
    <row r="4" spans="5:7" ht="12.75">
      <c r="E4" s="57"/>
      <c r="F4" s="64"/>
      <c r="G4" s="58"/>
    </row>
    <row r="5" spans="2:9" ht="12.75">
      <c r="B5" s="4"/>
      <c r="E5" s="57"/>
      <c r="F5" s="55"/>
      <c r="G5" s="58"/>
      <c r="I5" s="4"/>
    </row>
    <row r="6" spans="2:12" ht="12.75">
      <c r="B6" s="4" t="s">
        <v>19</v>
      </c>
      <c r="C6" s="4" t="s">
        <v>19</v>
      </c>
      <c r="D6" s="39" t="s">
        <v>8</v>
      </c>
      <c r="E6" s="4" t="s">
        <v>19</v>
      </c>
      <c r="F6" s="4" t="s">
        <v>19</v>
      </c>
      <c r="G6" s="4" t="s">
        <v>19</v>
      </c>
      <c r="H6" s="73"/>
      <c r="I6" s="73"/>
      <c r="J6" s="73"/>
      <c r="K6" s="4"/>
      <c r="L6" s="4"/>
    </row>
    <row r="7" spans="2:12" ht="12.75">
      <c r="B7" s="4" t="s">
        <v>25</v>
      </c>
      <c r="C7" s="4" t="s">
        <v>162</v>
      </c>
      <c r="D7" s="4" t="s">
        <v>7</v>
      </c>
      <c r="E7" s="4" t="s">
        <v>2</v>
      </c>
      <c r="F7" s="4" t="s">
        <v>32</v>
      </c>
      <c r="G7" s="4" t="s">
        <v>31</v>
      </c>
      <c r="H7" s="4"/>
      <c r="I7" s="4"/>
      <c r="J7" s="4"/>
      <c r="K7" s="4"/>
      <c r="L7" s="4"/>
    </row>
    <row r="8" spans="1:12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v>-6</v>
      </c>
      <c r="H8" s="48"/>
      <c r="I8" s="48"/>
      <c r="J8" s="48"/>
      <c r="K8" s="48"/>
      <c r="L8" s="4"/>
    </row>
    <row r="9" ht="4.5" customHeight="1"/>
    <row r="10" spans="1:10" ht="12.75">
      <c r="A10" s="4" t="str">
        <f>+'Ind - Gross'!A10</f>
        <v>0 - 4</v>
      </c>
      <c r="B10" s="180" t="s">
        <v>122</v>
      </c>
      <c r="C10" s="7">
        <f>+'Ind - Reins'!C10+'Group - Reins'!C10</f>
        <v>2000</v>
      </c>
      <c r="D10" s="61">
        <f>+'Total - Gross'!I10</f>
        <v>0.71</v>
      </c>
      <c r="E10" s="7">
        <f aca="true" t="shared" si="0" ref="E10:E27">+C10*D10/1000</f>
        <v>1.42</v>
      </c>
      <c r="F10" s="8">
        <f aca="true" t="shared" si="1" ref="F10:F27">ReinsCredit</f>
        <v>1</v>
      </c>
      <c r="G10" s="9">
        <f aca="true" t="shared" si="2" ref="G10:G27">+F10*E10</f>
        <v>1.42</v>
      </c>
      <c r="J10" s="13"/>
    </row>
    <row r="11" spans="1:10" ht="12.75">
      <c r="A11" s="4" t="str">
        <f>+'Ind - Gross'!A11</f>
        <v>5 - 9</v>
      </c>
      <c r="B11" s="180" t="s">
        <v>122</v>
      </c>
      <c r="C11" s="7">
        <f>+'Ind - Reins'!C11+'Group - Reins'!C11</f>
        <v>2000</v>
      </c>
      <c r="D11" s="61">
        <f>+'Total - Gross'!I11</f>
        <v>0.14</v>
      </c>
      <c r="E11" s="7">
        <f t="shared" si="0"/>
        <v>0.28</v>
      </c>
      <c r="F11" s="8">
        <f t="shared" si="1"/>
        <v>1</v>
      </c>
      <c r="G11" s="9">
        <f t="shared" si="2"/>
        <v>0.28</v>
      </c>
      <c r="J11" s="13"/>
    </row>
    <row r="12" spans="1:10" ht="12.75">
      <c r="A12" s="4" t="str">
        <f>+'Ind - Gross'!A12</f>
        <v>10 - 14</v>
      </c>
      <c r="B12" s="180" t="s">
        <v>122</v>
      </c>
      <c r="C12" s="7">
        <f>+'Ind - Reins'!C12+'Group - Reins'!C12</f>
        <v>2000</v>
      </c>
      <c r="D12" s="61">
        <f>+'Total - Gross'!I12</f>
        <v>0.14</v>
      </c>
      <c r="E12" s="7">
        <f t="shared" si="0"/>
        <v>0.28</v>
      </c>
      <c r="F12" s="8">
        <f t="shared" si="1"/>
        <v>1</v>
      </c>
      <c r="G12" s="9">
        <f t="shared" si="2"/>
        <v>0.28</v>
      </c>
      <c r="J12" s="13"/>
    </row>
    <row r="13" spans="1:10" ht="12.75">
      <c r="A13" s="4" t="str">
        <f>+'Ind - Gross'!A13</f>
        <v>15 - 19</v>
      </c>
      <c r="B13" s="180" t="s">
        <v>122</v>
      </c>
      <c r="C13" s="7">
        <f>+'Ind - Reins'!C13+'Group - Reins'!C13</f>
        <v>2000</v>
      </c>
      <c r="D13" s="61">
        <f>+'Total - Gross'!I13</f>
        <v>0.42</v>
      </c>
      <c r="E13" s="7">
        <f t="shared" si="0"/>
        <v>0.84</v>
      </c>
      <c r="F13" s="8">
        <f t="shared" si="1"/>
        <v>1</v>
      </c>
      <c r="G13" s="9">
        <f t="shared" si="2"/>
        <v>0.84</v>
      </c>
      <c r="J13" s="13"/>
    </row>
    <row r="14" spans="1:10" ht="12.75">
      <c r="A14" s="4" t="str">
        <f>+'Ind - Gross'!A14</f>
        <v>20 - 24</v>
      </c>
      <c r="B14" s="180" t="s">
        <v>122</v>
      </c>
      <c r="C14" s="7">
        <f>+'Ind - Reins'!C14+'Group - Reins'!C14</f>
        <v>2000</v>
      </c>
      <c r="D14" s="61">
        <f>+'Total - Gross'!I14</f>
        <v>0.61</v>
      </c>
      <c r="E14" s="7">
        <f t="shared" si="0"/>
        <v>1.22</v>
      </c>
      <c r="F14" s="8">
        <f t="shared" si="1"/>
        <v>1</v>
      </c>
      <c r="G14" s="9">
        <f t="shared" si="2"/>
        <v>1.22</v>
      </c>
      <c r="J14" s="13"/>
    </row>
    <row r="15" spans="1:10" ht="12.75">
      <c r="A15" s="4" t="str">
        <f>+'Ind - Gross'!A15</f>
        <v>25 - 29</v>
      </c>
      <c r="B15" s="180" t="s">
        <v>122</v>
      </c>
      <c r="C15" s="7">
        <f>+'Ind - Reins'!C15+'Group - Reins'!C15</f>
        <v>2000</v>
      </c>
      <c r="D15" s="61">
        <f>+'Total - Gross'!I15</f>
        <v>0.89</v>
      </c>
      <c r="E15" s="7">
        <f t="shared" si="0"/>
        <v>1.78</v>
      </c>
      <c r="F15" s="8">
        <f t="shared" si="1"/>
        <v>1</v>
      </c>
      <c r="G15" s="9">
        <f t="shared" si="2"/>
        <v>1.78</v>
      </c>
      <c r="J15" s="13"/>
    </row>
    <row r="16" spans="1:10" ht="12.75">
      <c r="A16" s="4" t="str">
        <f>+'Ind - Gross'!A16</f>
        <v>30 - 34</v>
      </c>
      <c r="B16" s="180" t="s">
        <v>122</v>
      </c>
      <c r="C16" s="7">
        <f>+'Ind - Reins'!C16+'Group - Reins'!C16</f>
        <v>2000</v>
      </c>
      <c r="D16" s="61">
        <f>+'Total - Gross'!I16</f>
        <v>0.89</v>
      </c>
      <c r="E16" s="7">
        <f t="shared" si="0"/>
        <v>1.78</v>
      </c>
      <c r="F16" s="8">
        <f t="shared" si="1"/>
        <v>1</v>
      </c>
      <c r="G16" s="9">
        <f t="shared" si="2"/>
        <v>1.78</v>
      </c>
      <c r="J16" s="13"/>
    </row>
    <row r="17" spans="1:10" ht="12.75">
      <c r="A17" s="4" t="str">
        <f>+'Ind - Gross'!A17</f>
        <v>35 - 39</v>
      </c>
      <c r="B17" s="180" t="s">
        <v>122</v>
      </c>
      <c r="C17" s="7">
        <f>+'Ind - Reins'!C17+'Group - Reins'!C17</f>
        <v>2000</v>
      </c>
      <c r="D17" s="61">
        <f>+'Total - Gross'!I17</f>
        <v>0.52</v>
      </c>
      <c r="E17" s="7">
        <f t="shared" si="0"/>
        <v>1.04</v>
      </c>
      <c r="F17" s="8">
        <f t="shared" si="1"/>
        <v>1</v>
      </c>
      <c r="G17" s="9">
        <f t="shared" si="2"/>
        <v>1.04</v>
      </c>
      <c r="J17" s="13"/>
    </row>
    <row r="18" spans="1:10" ht="12.75">
      <c r="A18" s="4" t="str">
        <f>+'Ind - Gross'!A18</f>
        <v>40 - 44</v>
      </c>
      <c r="B18" s="180" t="s">
        <v>122</v>
      </c>
      <c r="C18" s="7">
        <f>+'Ind - Reins'!C18+'Group - Reins'!C18</f>
        <v>2000</v>
      </c>
      <c r="D18" s="61">
        <f>+'Total - Gross'!I18</f>
        <v>0.42</v>
      </c>
      <c r="E18" s="7">
        <f t="shared" si="0"/>
        <v>0.84</v>
      </c>
      <c r="F18" s="8">
        <f t="shared" si="1"/>
        <v>1</v>
      </c>
      <c r="G18" s="9">
        <f t="shared" si="2"/>
        <v>0.84</v>
      </c>
      <c r="J18" s="13"/>
    </row>
    <row r="19" spans="1:10" ht="12.75">
      <c r="A19" s="4" t="str">
        <f>+'Ind - Gross'!A19</f>
        <v>45 - 49</v>
      </c>
      <c r="B19" s="180" t="s">
        <v>122</v>
      </c>
      <c r="C19" s="7">
        <f>+'Ind - Reins'!C19+'Group - Reins'!C19</f>
        <v>2000</v>
      </c>
      <c r="D19" s="61">
        <f>+'Total - Gross'!I19</f>
        <v>0.33</v>
      </c>
      <c r="E19" s="7">
        <f t="shared" si="0"/>
        <v>0.66</v>
      </c>
      <c r="F19" s="8">
        <f t="shared" si="1"/>
        <v>1</v>
      </c>
      <c r="G19" s="9">
        <f t="shared" si="2"/>
        <v>0.66</v>
      </c>
      <c r="J19" s="13"/>
    </row>
    <row r="20" spans="1:10" ht="12.75">
      <c r="A20" s="4" t="str">
        <f>+'Ind - Gross'!A20</f>
        <v>50 - 54</v>
      </c>
      <c r="B20" s="180" t="s">
        <v>122</v>
      </c>
      <c r="C20" s="7">
        <f>+'Ind - Reins'!C20+'Group - Reins'!C20</f>
        <v>2000</v>
      </c>
      <c r="D20" s="61">
        <f>+'Total - Gross'!I20</f>
        <v>0.24</v>
      </c>
      <c r="E20" s="7">
        <f t="shared" si="0"/>
        <v>0.48</v>
      </c>
      <c r="F20" s="8">
        <f t="shared" si="1"/>
        <v>1</v>
      </c>
      <c r="G20" s="9">
        <f t="shared" si="2"/>
        <v>0.48</v>
      </c>
      <c r="J20" s="13"/>
    </row>
    <row r="21" spans="1:10" ht="12.75">
      <c r="A21" s="4" t="str">
        <f>+'Ind - Gross'!A21</f>
        <v>55 - 59</v>
      </c>
      <c r="B21" s="180" t="s">
        <v>122</v>
      </c>
      <c r="C21" s="7">
        <f>+'Ind - Reins'!C21+'Group - Reins'!C21</f>
        <v>2000</v>
      </c>
      <c r="D21" s="61">
        <f>+'Total - Gross'!I21</f>
        <v>0.19</v>
      </c>
      <c r="E21" s="7">
        <f t="shared" si="0"/>
        <v>0.38</v>
      </c>
      <c r="F21" s="8">
        <f t="shared" si="1"/>
        <v>1</v>
      </c>
      <c r="G21" s="9">
        <f t="shared" si="2"/>
        <v>0.38</v>
      </c>
      <c r="J21" s="13"/>
    </row>
    <row r="22" spans="1:10" ht="12.75">
      <c r="A22" s="4" t="str">
        <f>+'Ind - Gross'!A22</f>
        <v>60 - 64</v>
      </c>
      <c r="B22" s="180" t="s">
        <v>122</v>
      </c>
      <c r="C22" s="7">
        <f>+'Ind - Reins'!C22+'Group - Reins'!C22</f>
        <v>2000</v>
      </c>
      <c r="D22" s="61">
        <f>+'Total - Gross'!I22</f>
        <v>0.14</v>
      </c>
      <c r="E22" s="7">
        <f t="shared" si="0"/>
        <v>0.28</v>
      </c>
      <c r="F22" s="8">
        <f t="shared" si="1"/>
        <v>1</v>
      </c>
      <c r="G22" s="9">
        <f t="shared" si="2"/>
        <v>0.28</v>
      </c>
      <c r="J22" s="13"/>
    </row>
    <row r="23" spans="1:10" ht="12.75">
      <c r="A23" s="4" t="str">
        <f>+'Ind - Gross'!A23</f>
        <v>65 - 69</v>
      </c>
      <c r="B23" s="180" t="s">
        <v>122</v>
      </c>
      <c r="C23" s="7">
        <f>+'Ind - Reins'!C23+'Group - Reins'!C23</f>
        <v>2000</v>
      </c>
      <c r="D23" s="61">
        <f>+'Total - Gross'!I23</f>
        <v>0.09</v>
      </c>
      <c r="E23" s="7">
        <f t="shared" si="0"/>
        <v>0.18</v>
      </c>
      <c r="F23" s="8">
        <f t="shared" si="1"/>
        <v>1</v>
      </c>
      <c r="G23" s="9">
        <f t="shared" si="2"/>
        <v>0.18</v>
      </c>
      <c r="J23" s="13"/>
    </row>
    <row r="24" spans="1:10" ht="12.75">
      <c r="A24" s="4" t="str">
        <f>+'Ind - Gross'!A24</f>
        <v>70 - 74</v>
      </c>
      <c r="B24" s="180" t="s">
        <v>122</v>
      </c>
      <c r="C24" s="7">
        <f>+'Ind - Reins'!C24+'Group - Reins'!C24</f>
        <v>2000</v>
      </c>
      <c r="D24" s="61">
        <f>+'Total - Gross'!I24</f>
        <v>0.09</v>
      </c>
      <c r="E24" s="7">
        <f t="shared" si="0"/>
        <v>0.18</v>
      </c>
      <c r="F24" s="8">
        <f t="shared" si="1"/>
        <v>1</v>
      </c>
      <c r="G24" s="9">
        <f t="shared" si="2"/>
        <v>0.18</v>
      </c>
      <c r="J24" s="13"/>
    </row>
    <row r="25" spans="1:10" ht="12.75">
      <c r="A25" s="47" t="str">
        <f>+'Ind - Gross'!A25</f>
        <v>75 - 79</v>
      </c>
      <c r="B25" s="180" t="s">
        <v>122</v>
      </c>
      <c r="C25" s="7">
        <f>+'Ind - Reins'!C25+'Group - Reins'!C25</f>
        <v>2000</v>
      </c>
      <c r="D25" s="61">
        <f>+'Total - Gross'!I25</f>
        <v>0.05</v>
      </c>
      <c r="E25" s="7">
        <f t="shared" si="0"/>
        <v>0.1</v>
      </c>
      <c r="F25" s="8">
        <f t="shared" si="1"/>
        <v>1</v>
      </c>
      <c r="G25" s="9">
        <f t="shared" si="2"/>
        <v>0.1</v>
      </c>
      <c r="J25" s="13"/>
    </row>
    <row r="26" spans="1:10" ht="12.75">
      <c r="A26" s="47" t="str">
        <f>+'Ind - Gross'!A26</f>
        <v>80 - 84</v>
      </c>
      <c r="B26" s="180" t="s">
        <v>122</v>
      </c>
      <c r="C26" s="7">
        <f>+'Ind - Reins'!C26+'Group - Reins'!C26</f>
        <v>2000</v>
      </c>
      <c r="D26" s="61">
        <f>+'Total - Gross'!I26</f>
        <v>0.05</v>
      </c>
      <c r="E26" s="7">
        <f t="shared" si="0"/>
        <v>0.1</v>
      </c>
      <c r="F26" s="8">
        <f t="shared" si="1"/>
        <v>1</v>
      </c>
      <c r="G26" s="9">
        <f t="shared" si="2"/>
        <v>0.1</v>
      </c>
      <c r="J26" s="13"/>
    </row>
    <row r="27" spans="1:10" ht="12.75">
      <c r="A27" s="74" t="str">
        <f>+'Ind - Gross'!A27</f>
        <v>85+</v>
      </c>
      <c r="B27" s="181" t="s">
        <v>122</v>
      </c>
      <c r="C27" s="52">
        <f>+'Ind - Reins'!C27+'Group - Reins'!C27</f>
        <v>2000</v>
      </c>
      <c r="D27" s="75">
        <f>+'Total - Gross'!I27</f>
        <v>0.05</v>
      </c>
      <c r="E27" s="52">
        <f t="shared" si="0"/>
        <v>0.1</v>
      </c>
      <c r="F27" s="84">
        <f t="shared" si="1"/>
        <v>1</v>
      </c>
      <c r="G27" s="54">
        <f t="shared" si="2"/>
        <v>0.1</v>
      </c>
      <c r="J27" s="13"/>
    </row>
    <row r="28" ht="6" customHeight="1"/>
    <row r="29" spans="1:7" ht="12.75">
      <c r="A29" s="12" t="s">
        <v>3</v>
      </c>
      <c r="B29" s="158"/>
      <c r="C29" s="7">
        <f>SUM(C10:C28)</f>
        <v>36000</v>
      </c>
      <c r="E29" s="9">
        <f>SUM(E10:E28)</f>
        <v>11.94</v>
      </c>
      <c r="G29" s="9">
        <f>SUM(G10:G28)</f>
        <v>11.94</v>
      </c>
    </row>
    <row r="30" spans="1:7" ht="12.75">
      <c r="A30" s="12"/>
      <c r="B30" s="60"/>
      <c r="C30" s="41"/>
      <c r="E30" s="9"/>
      <c r="G30" s="9"/>
    </row>
    <row r="32" ht="12.75">
      <c r="B32" s="130" t="s">
        <v>29</v>
      </c>
    </row>
    <row r="33" spans="1:2" ht="12.75">
      <c r="A33" s="56">
        <v>-1</v>
      </c>
      <c r="B33" s="3" t="s">
        <v>160</v>
      </c>
    </row>
    <row r="34" spans="1:8" ht="12.75">
      <c r="A34" s="56">
        <v>-2</v>
      </c>
      <c r="B34" s="37" t="str">
        <f>IF(Scen="M"," Exhibit 3, Page 2, Column 2 + Exhibit 4, Page 2, Column 2"," Exhibit 6, Page 2, Column 2 + Exhibit 7, Page 2, Column 2")</f>
        <v> Exhibit 3, Page 2, Column 2 + Exhibit 4, Page 2, Column 2</v>
      </c>
      <c r="H34" s="14"/>
    </row>
    <row r="35" spans="1:2" ht="12.75">
      <c r="A35" s="56">
        <v>-3</v>
      </c>
      <c r="B35" s="3" t="str">
        <f>'Total - Gross'!M1&amp;", Column 8"</f>
        <v> Exhibit 2, Page 3, Column 8</v>
      </c>
    </row>
    <row r="36" spans="1:2" ht="12.75">
      <c r="A36" s="56">
        <v>-4</v>
      </c>
      <c r="B36" s="3" t="s">
        <v>91</v>
      </c>
    </row>
    <row r="37" spans="1:2" ht="12.75">
      <c r="A37" s="56">
        <v>-5</v>
      </c>
      <c r="B37" s="3" t="str">
        <f>" "&amp;'Scenario Inputs'!$L$1&amp;", Entry 4"</f>
        <v> Exhibit 1, Page 1, Entry 4</v>
      </c>
    </row>
    <row r="38" spans="1:2" ht="12.75">
      <c r="A38" s="56">
        <v>-6</v>
      </c>
      <c r="B38" s="3" t="s">
        <v>36</v>
      </c>
    </row>
    <row r="46" ht="12.75">
      <c r="A46" s="37"/>
    </row>
    <row r="47" ht="12.75">
      <c r="A47" s="37"/>
    </row>
  </sheetData>
  <printOptions horizontalCentered="1"/>
  <pageMargins left="0.5" right="0.5" top="0.75" bottom="0.75" header="0.5" footer="0.35"/>
  <pageSetup fitToHeight="1" fitToWidth="1" horizontalDpi="600" verticalDpi="600" orientation="landscape" r:id="rId1"/>
  <headerFooter alignWithMargins="0">
    <oddFooter>&amp;L&amp;8&amp;F  &amp;A&amp;C&amp;8MBA Actuaries, Inc.&amp;R&amp;8&amp;D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1.7109375" style="3" customWidth="1"/>
    <col min="3" max="3" width="9.8515625" style="3" customWidth="1"/>
    <col min="4" max="4" width="12.7109375" style="3" customWidth="1"/>
    <col min="5" max="5" width="11.7109375" style="3" customWidth="1"/>
    <col min="6" max="6" width="16.7109375" style="3" customWidth="1"/>
    <col min="7" max="10" width="11.7109375" style="3" customWidth="1"/>
    <col min="11" max="11" width="12.28125" style="3" customWidth="1"/>
    <col min="12" max="12" width="15.57421875" style="3" customWidth="1"/>
    <col min="13" max="13" width="1.7109375" style="3" customWidth="1"/>
    <col min="14" max="14" width="17.7109375" style="3" bestFit="1" customWidth="1"/>
    <col min="15" max="15" width="15.00390625" style="3" bestFit="1" customWidth="1"/>
    <col min="16" max="16384" width="9.140625" style="3" customWidth="1"/>
  </cols>
  <sheetData>
    <row r="1" ht="12.75">
      <c r="M1" s="12" t="str">
        <f>+'Format Vars'!B7</f>
        <v> Exhibit 2, Page 3</v>
      </c>
    </row>
    <row r="2" spans="1:12" ht="18">
      <c r="A2" s="70" t="str">
        <f>"Gross Claims Total - "&amp;scenario</f>
        <v>Gross Claims Total - Moderate Scenario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68"/>
      <c r="H3" s="39"/>
      <c r="I3" s="39"/>
      <c r="J3" s="39"/>
      <c r="K3" s="39"/>
      <c r="L3" s="39"/>
    </row>
    <row r="4" ht="12.75">
      <c r="G4" s="40"/>
    </row>
    <row r="5" spans="4:11" ht="12.75">
      <c r="D5" s="4"/>
      <c r="G5" s="4" t="s">
        <v>0</v>
      </c>
      <c r="H5" s="4" t="s">
        <v>73</v>
      </c>
      <c r="I5" s="4" t="s">
        <v>70</v>
      </c>
      <c r="J5" s="4" t="s">
        <v>24</v>
      </c>
      <c r="K5" s="4" t="s">
        <v>97</v>
      </c>
    </row>
    <row r="6" spans="2:13" ht="12.75">
      <c r="B6" s="4" t="s">
        <v>68</v>
      </c>
      <c r="C6" s="4" t="s">
        <v>27</v>
      </c>
      <c r="D6" s="4" t="s">
        <v>97</v>
      </c>
      <c r="E6" s="4" t="s">
        <v>13</v>
      </c>
      <c r="F6" s="4" t="s">
        <v>14</v>
      </c>
      <c r="G6" s="39" t="s">
        <v>56</v>
      </c>
      <c r="H6" s="4" t="s">
        <v>71</v>
      </c>
      <c r="I6" s="39" t="s">
        <v>56</v>
      </c>
      <c r="J6" s="4" t="s">
        <v>0</v>
      </c>
      <c r="K6" s="4" t="s">
        <v>98</v>
      </c>
      <c r="L6" s="4" t="s">
        <v>20</v>
      </c>
      <c r="M6" s="4"/>
    </row>
    <row r="7" spans="2:13" ht="12.75">
      <c r="B7" s="4" t="s">
        <v>0</v>
      </c>
      <c r="C7" s="4" t="s">
        <v>58</v>
      </c>
      <c r="D7" s="4" t="s">
        <v>96</v>
      </c>
      <c r="E7" s="4" t="s">
        <v>1</v>
      </c>
      <c r="F7" s="4" t="s">
        <v>23</v>
      </c>
      <c r="G7" s="4" t="s">
        <v>57</v>
      </c>
      <c r="H7" s="4" t="s">
        <v>74</v>
      </c>
      <c r="I7" s="4" t="s">
        <v>57</v>
      </c>
      <c r="J7" s="4" t="s">
        <v>56</v>
      </c>
      <c r="K7" s="4" t="s">
        <v>56</v>
      </c>
      <c r="L7" s="4" t="s">
        <v>2</v>
      </c>
      <c r="M7" s="4"/>
    </row>
    <row r="8" spans="1:13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f aca="true" t="shared" si="0" ref="G8:L8">+F8-1</f>
        <v>-6</v>
      </c>
      <c r="H8" s="48">
        <f t="shared" si="0"/>
        <v>-7</v>
      </c>
      <c r="I8" s="48">
        <f t="shared" si="0"/>
        <v>-8</v>
      </c>
      <c r="J8" s="48">
        <f t="shared" si="0"/>
        <v>-9</v>
      </c>
      <c r="K8" s="48">
        <f t="shared" si="0"/>
        <v>-10</v>
      </c>
      <c r="L8" s="48">
        <f t="shared" si="0"/>
        <v>-11</v>
      </c>
      <c r="M8" s="4"/>
    </row>
    <row r="9" spans="2:13" ht="4.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"/>
    </row>
    <row r="10" spans="1:16" ht="12.75">
      <c r="A10" s="151" t="str">
        <f>+'Scenario Inputs'!A21</f>
        <v>0 - 4</v>
      </c>
      <c r="B10" s="5">
        <f>+'Scenario Inputs'!B21</f>
        <v>20071268</v>
      </c>
      <c r="C10" s="183" t="s">
        <v>122</v>
      </c>
      <c r="D10" s="7">
        <f>+'Ind - Gross'!D10+'Group - Gross'!D10</f>
        <v>2000</v>
      </c>
      <c r="E10" s="7">
        <f aca="true" t="shared" si="1" ref="E10:E27">+F10/D10</f>
        <v>1000</v>
      </c>
      <c r="F10" s="7">
        <f>+'Ind - Gross'!F10+'Group - Gross'!F10</f>
        <v>2000000</v>
      </c>
      <c r="G10" s="13">
        <f>+'Scenario Inputs'!C21</f>
        <v>1.237</v>
      </c>
      <c r="H10" s="8">
        <f aca="true" t="shared" si="2" ref="H10:H27">InsMort</f>
        <v>0.571</v>
      </c>
      <c r="I10" s="13">
        <f aca="true" t="shared" si="3" ref="I10:I27">ROUND(H10*G10,2)</f>
        <v>0.71</v>
      </c>
      <c r="J10" s="7">
        <f aca="true" t="shared" si="4" ref="J10:J27">+G10*B10/1000</f>
        <v>24828.158516000003</v>
      </c>
      <c r="K10" s="7">
        <f aca="true" t="shared" si="5" ref="K10:K27">+D10*I10/1000</f>
        <v>1.42</v>
      </c>
      <c r="L10" s="9">
        <f aca="true" t="shared" si="6" ref="L10:L27">+E10*K10</f>
        <v>1420</v>
      </c>
      <c r="N10" s="7"/>
      <c r="O10" s="157"/>
      <c r="P10" s="157"/>
    </row>
    <row r="11" spans="1:16" ht="12.75">
      <c r="A11" s="151" t="str">
        <f>+'Scenario Inputs'!A22</f>
        <v>5 - 9</v>
      </c>
      <c r="B11" s="5">
        <f>+'Scenario Inputs'!B22</f>
        <v>19605572</v>
      </c>
      <c r="C11" s="183" t="s">
        <v>122</v>
      </c>
      <c r="D11" s="7">
        <f>+'Ind - Gross'!D11+'Group - Gross'!D11</f>
        <v>2000</v>
      </c>
      <c r="E11" s="7">
        <f t="shared" si="1"/>
        <v>1000</v>
      </c>
      <c r="F11" s="7">
        <f>+'Ind - Gross'!F11+'Group - Gross'!F11</f>
        <v>2000000</v>
      </c>
      <c r="G11" s="13">
        <f>+'Scenario Inputs'!C22</f>
        <v>0.247</v>
      </c>
      <c r="H11" s="8">
        <f t="shared" si="2"/>
        <v>0.571</v>
      </c>
      <c r="I11" s="13">
        <f t="shared" si="3"/>
        <v>0.14</v>
      </c>
      <c r="J11" s="7">
        <f t="shared" si="4"/>
        <v>4842.576284</v>
      </c>
      <c r="K11" s="7">
        <f t="shared" si="5"/>
        <v>0.28</v>
      </c>
      <c r="L11" s="9">
        <f t="shared" si="6"/>
        <v>280</v>
      </c>
      <c r="N11" s="7"/>
      <c r="O11" s="157"/>
      <c r="P11" s="157"/>
    </row>
    <row r="12" spans="1:16" ht="12.75">
      <c r="A12" s="151" t="str">
        <f>+'Scenario Inputs'!A23</f>
        <v>10 - 14</v>
      </c>
      <c r="B12" s="5">
        <f>+'Scenario Inputs'!B23</f>
        <v>21145156</v>
      </c>
      <c r="C12" s="183" t="s">
        <v>122</v>
      </c>
      <c r="D12" s="7">
        <f>+'Ind - Gross'!D12+'Group - Gross'!D12</f>
        <v>2000</v>
      </c>
      <c r="E12" s="7">
        <f t="shared" si="1"/>
        <v>1000</v>
      </c>
      <c r="F12" s="7">
        <f>+'Ind - Gross'!F12+'Group - Gross'!F12</f>
        <v>2000000</v>
      </c>
      <c r="G12" s="13">
        <f>+'Scenario Inputs'!C23</f>
        <v>0.247</v>
      </c>
      <c r="H12" s="8">
        <f t="shared" si="2"/>
        <v>0.571</v>
      </c>
      <c r="I12" s="13">
        <f t="shared" si="3"/>
        <v>0.14</v>
      </c>
      <c r="J12" s="7">
        <f t="shared" si="4"/>
        <v>5222.853532</v>
      </c>
      <c r="K12" s="7">
        <f t="shared" si="5"/>
        <v>0.28</v>
      </c>
      <c r="L12" s="9">
        <f t="shared" si="6"/>
        <v>280</v>
      </c>
      <c r="N12" s="7"/>
      <c r="O12" s="157"/>
      <c r="P12" s="157"/>
    </row>
    <row r="13" spans="1:16" ht="12.75">
      <c r="A13" s="151" t="str">
        <f>+'Scenario Inputs'!A24</f>
        <v>15 - 19</v>
      </c>
      <c r="B13" s="5">
        <f>+'Scenario Inputs'!B24</f>
        <v>20729802</v>
      </c>
      <c r="C13" s="183" t="s">
        <v>122</v>
      </c>
      <c r="D13" s="7">
        <f>+'Ind - Gross'!D13+'Group - Gross'!D13</f>
        <v>2000</v>
      </c>
      <c r="E13" s="7">
        <f t="shared" si="1"/>
        <v>1000</v>
      </c>
      <c r="F13" s="7">
        <f>+'Ind - Gross'!F13+'Group - Gross'!F13</f>
        <v>2000000</v>
      </c>
      <c r="G13" s="13">
        <f>+'Scenario Inputs'!C24</f>
        <v>0.742</v>
      </c>
      <c r="H13" s="8">
        <f t="shared" si="2"/>
        <v>0.571</v>
      </c>
      <c r="I13" s="13">
        <f t="shared" si="3"/>
        <v>0.42</v>
      </c>
      <c r="J13" s="7">
        <f t="shared" si="4"/>
        <v>15381.513084</v>
      </c>
      <c r="K13" s="7">
        <f t="shared" si="5"/>
        <v>0.84</v>
      </c>
      <c r="L13" s="9">
        <f t="shared" si="6"/>
        <v>840</v>
      </c>
      <c r="N13" s="7"/>
      <c r="O13" s="157"/>
      <c r="P13" s="157"/>
    </row>
    <row r="14" spans="1:16" ht="12.75">
      <c r="A14" s="151" t="str">
        <f>+'Scenario Inputs'!A25</f>
        <v>20 - 24</v>
      </c>
      <c r="B14" s="5">
        <f>+'Scenario Inputs'!B25</f>
        <v>20971302</v>
      </c>
      <c r="C14" s="183" t="s">
        <v>122</v>
      </c>
      <c r="D14" s="7">
        <f>+'Ind - Gross'!D14+'Group - Gross'!D14</f>
        <v>2000</v>
      </c>
      <c r="E14" s="7">
        <f t="shared" si="1"/>
        <v>1000</v>
      </c>
      <c r="F14" s="7">
        <f>+'Ind - Gross'!F14+'Group - Gross'!F14</f>
        <v>2000000</v>
      </c>
      <c r="G14" s="13">
        <f>+'Scenario Inputs'!C25</f>
        <v>1.072</v>
      </c>
      <c r="H14" s="8">
        <f t="shared" si="2"/>
        <v>0.571</v>
      </c>
      <c r="I14" s="13">
        <f t="shared" si="3"/>
        <v>0.61</v>
      </c>
      <c r="J14" s="7">
        <f t="shared" si="4"/>
        <v>22481.235744</v>
      </c>
      <c r="K14" s="7">
        <f t="shared" si="5"/>
        <v>1.22</v>
      </c>
      <c r="L14" s="9">
        <f t="shared" si="6"/>
        <v>1220</v>
      </c>
      <c r="N14" s="7"/>
      <c r="O14" s="157"/>
      <c r="P14" s="157"/>
    </row>
    <row r="15" spans="1:16" ht="12.75">
      <c r="A15" s="151" t="str">
        <f>+'Scenario Inputs'!A26</f>
        <v>25 - 29</v>
      </c>
      <c r="B15" s="5">
        <f>+'Scenario Inputs'!B26</f>
        <v>19560906</v>
      </c>
      <c r="C15" s="183" t="s">
        <v>122</v>
      </c>
      <c r="D15" s="7">
        <f>+'Ind - Gross'!D15+'Group - Gross'!D15</f>
        <v>2000</v>
      </c>
      <c r="E15" s="7">
        <f t="shared" si="1"/>
        <v>1000</v>
      </c>
      <c r="F15" s="7">
        <f>+'Ind - Gross'!F15+'Group - Gross'!F15</f>
        <v>2000000</v>
      </c>
      <c r="G15" s="13">
        <f>+'Scenario Inputs'!C26</f>
        <v>1.567</v>
      </c>
      <c r="H15" s="8">
        <f t="shared" si="2"/>
        <v>0.571</v>
      </c>
      <c r="I15" s="13">
        <f t="shared" si="3"/>
        <v>0.89</v>
      </c>
      <c r="J15" s="7">
        <f t="shared" si="4"/>
        <v>30651.939702</v>
      </c>
      <c r="K15" s="7">
        <f t="shared" si="5"/>
        <v>1.78</v>
      </c>
      <c r="L15" s="9">
        <f t="shared" si="6"/>
        <v>1780</v>
      </c>
      <c r="N15" s="7"/>
      <c r="O15" s="157"/>
      <c r="P15" s="157"/>
    </row>
    <row r="16" spans="1:16" ht="12.75">
      <c r="A16" s="151" t="str">
        <f>+'Scenario Inputs'!A27</f>
        <v>30 - 34</v>
      </c>
      <c r="B16" s="5">
        <f>+'Scenario Inputs'!B27</f>
        <v>20471032</v>
      </c>
      <c r="C16" s="183" t="s">
        <v>122</v>
      </c>
      <c r="D16" s="7">
        <f>+'Ind - Gross'!D16+'Group - Gross'!D16</f>
        <v>2000</v>
      </c>
      <c r="E16" s="7">
        <f t="shared" si="1"/>
        <v>1000</v>
      </c>
      <c r="F16" s="7">
        <f>+'Ind - Gross'!F16+'Group - Gross'!F16</f>
        <v>2000000</v>
      </c>
      <c r="G16" s="13">
        <f>+'Scenario Inputs'!C27</f>
        <v>1.567</v>
      </c>
      <c r="H16" s="8">
        <f t="shared" si="2"/>
        <v>0.571</v>
      </c>
      <c r="I16" s="13">
        <f t="shared" si="3"/>
        <v>0.89</v>
      </c>
      <c r="J16" s="7">
        <f t="shared" si="4"/>
        <v>32078.107143999998</v>
      </c>
      <c r="K16" s="7">
        <f t="shared" si="5"/>
        <v>1.78</v>
      </c>
      <c r="L16" s="9">
        <f t="shared" si="6"/>
        <v>1780</v>
      </c>
      <c r="N16" s="7"/>
      <c r="O16" s="157"/>
      <c r="P16" s="157"/>
    </row>
    <row r="17" spans="1:16" ht="12.75">
      <c r="A17" s="151" t="str">
        <f>+'Scenario Inputs'!A28</f>
        <v>35 - 39</v>
      </c>
      <c r="B17" s="5">
        <f>+'Scenario Inputs'!B28</f>
        <v>21052318</v>
      </c>
      <c r="C17" s="183" t="s">
        <v>122</v>
      </c>
      <c r="D17" s="7">
        <f>+'Ind - Gross'!D17+'Group - Gross'!D17</f>
        <v>2000</v>
      </c>
      <c r="E17" s="7">
        <f t="shared" si="1"/>
        <v>1000</v>
      </c>
      <c r="F17" s="7">
        <f>+'Ind - Gross'!F17+'Group - Gross'!F17</f>
        <v>2000000</v>
      </c>
      <c r="G17" s="13">
        <f>+'Scenario Inputs'!C28</f>
        <v>0.907</v>
      </c>
      <c r="H17" s="8">
        <f t="shared" si="2"/>
        <v>0.571</v>
      </c>
      <c r="I17" s="13">
        <f t="shared" si="3"/>
        <v>0.52</v>
      </c>
      <c r="J17" s="7">
        <f t="shared" si="4"/>
        <v>19094.452426</v>
      </c>
      <c r="K17" s="7">
        <f t="shared" si="5"/>
        <v>1.04</v>
      </c>
      <c r="L17" s="9">
        <f t="shared" si="6"/>
        <v>1040</v>
      </c>
      <c r="N17" s="7"/>
      <c r="O17" s="157"/>
      <c r="P17" s="157"/>
    </row>
    <row r="18" spans="1:16" ht="12.75">
      <c r="A18" s="151" t="str">
        <f>+'Scenario Inputs'!A29</f>
        <v>40 - 44</v>
      </c>
      <c r="B18" s="5">
        <f>+'Scenario Inputs'!B29</f>
        <v>23056334</v>
      </c>
      <c r="C18" s="183" t="s">
        <v>122</v>
      </c>
      <c r="D18" s="7">
        <f>+'Ind - Gross'!D18+'Group - Gross'!D18</f>
        <v>2000</v>
      </c>
      <c r="E18" s="7">
        <f t="shared" si="1"/>
        <v>1000</v>
      </c>
      <c r="F18" s="7">
        <f>+'Ind - Gross'!F18+'Group - Gross'!F18</f>
        <v>2000000</v>
      </c>
      <c r="G18" s="13">
        <f>+'Scenario Inputs'!C29</f>
        <v>0.742</v>
      </c>
      <c r="H18" s="8">
        <f t="shared" si="2"/>
        <v>0.571</v>
      </c>
      <c r="I18" s="13">
        <f t="shared" si="3"/>
        <v>0.42</v>
      </c>
      <c r="J18" s="7">
        <f t="shared" si="4"/>
        <v>17107.799828000003</v>
      </c>
      <c r="K18" s="7">
        <f t="shared" si="5"/>
        <v>0.84</v>
      </c>
      <c r="L18" s="9">
        <f t="shared" si="6"/>
        <v>840</v>
      </c>
      <c r="N18" s="7"/>
      <c r="O18" s="157"/>
      <c r="P18" s="157"/>
    </row>
    <row r="19" spans="1:16" ht="12.75">
      <c r="A19" s="151" t="str">
        <f>+'Scenario Inputs'!A30</f>
        <v>45 - 49</v>
      </c>
      <c r="B19" s="5">
        <f>+'Scenario Inputs'!B30</f>
        <v>22122629</v>
      </c>
      <c r="C19" s="183" t="s">
        <v>122</v>
      </c>
      <c r="D19" s="7">
        <f>+'Ind - Gross'!D19+'Group - Gross'!D19</f>
        <v>2000</v>
      </c>
      <c r="E19" s="7">
        <f t="shared" si="1"/>
        <v>1000</v>
      </c>
      <c r="F19" s="7">
        <f>+'Ind - Gross'!F19+'Group - Gross'!F19</f>
        <v>2000000</v>
      </c>
      <c r="G19" s="13">
        <f>+'Scenario Inputs'!C30</f>
        <v>0.577</v>
      </c>
      <c r="H19" s="8">
        <f t="shared" si="2"/>
        <v>0.571</v>
      </c>
      <c r="I19" s="13">
        <f t="shared" si="3"/>
        <v>0.33</v>
      </c>
      <c r="J19" s="7">
        <f t="shared" si="4"/>
        <v>12764.756932999999</v>
      </c>
      <c r="K19" s="7">
        <f t="shared" si="5"/>
        <v>0.66</v>
      </c>
      <c r="L19" s="9">
        <f t="shared" si="6"/>
        <v>660</v>
      </c>
      <c r="N19" s="7"/>
      <c r="O19" s="157"/>
      <c r="P19" s="157"/>
    </row>
    <row r="20" spans="1:16" ht="12.75">
      <c r="A20" s="151" t="str">
        <f>+'Scenario Inputs'!A31</f>
        <v>50 - 54</v>
      </c>
      <c r="B20" s="5">
        <f>+'Scenario Inputs'!B31</f>
        <v>19496176</v>
      </c>
      <c r="C20" s="183" t="s">
        <v>122</v>
      </c>
      <c r="D20" s="7">
        <f>+'Ind - Gross'!D20+'Group - Gross'!D20</f>
        <v>2000</v>
      </c>
      <c r="E20" s="7">
        <f t="shared" si="1"/>
        <v>1000</v>
      </c>
      <c r="F20" s="7">
        <f>+'Ind - Gross'!F20+'Group - Gross'!F20</f>
        <v>2000000</v>
      </c>
      <c r="G20" s="13">
        <f>+'Scenario Inputs'!C31</f>
        <v>0.412</v>
      </c>
      <c r="H20" s="8">
        <f t="shared" si="2"/>
        <v>0.571</v>
      </c>
      <c r="I20" s="13">
        <f t="shared" si="3"/>
        <v>0.24</v>
      </c>
      <c r="J20" s="7">
        <f t="shared" si="4"/>
        <v>8032.424512</v>
      </c>
      <c r="K20" s="7">
        <f t="shared" si="5"/>
        <v>0.48</v>
      </c>
      <c r="L20" s="9">
        <f t="shared" si="6"/>
        <v>480</v>
      </c>
      <c r="N20" s="7"/>
      <c r="O20" s="157"/>
      <c r="P20" s="157"/>
    </row>
    <row r="21" spans="1:16" ht="12.75">
      <c r="A21" s="151" t="str">
        <f>+'Scenario Inputs'!A32</f>
        <v>55 - 59</v>
      </c>
      <c r="B21" s="5">
        <f>+'Scenario Inputs'!B32</f>
        <v>16489501</v>
      </c>
      <c r="C21" s="183" t="s">
        <v>122</v>
      </c>
      <c r="D21" s="7">
        <f>+'Ind - Gross'!D21+'Group - Gross'!D21</f>
        <v>2000</v>
      </c>
      <c r="E21" s="7">
        <f t="shared" si="1"/>
        <v>1000</v>
      </c>
      <c r="F21" s="7">
        <f>+'Ind - Gross'!F21+'Group - Gross'!F21</f>
        <v>2000000</v>
      </c>
      <c r="G21" s="13">
        <f>+'Scenario Inputs'!C32</f>
        <v>0.33</v>
      </c>
      <c r="H21" s="8">
        <f t="shared" si="2"/>
        <v>0.571</v>
      </c>
      <c r="I21" s="13">
        <f t="shared" si="3"/>
        <v>0.19</v>
      </c>
      <c r="J21" s="7">
        <f t="shared" si="4"/>
        <v>5441.53533</v>
      </c>
      <c r="K21" s="7">
        <f t="shared" si="5"/>
        <v>0.38</v>
      </c>
      <c r="L21" s="9">
        <f t="shared" si="6"/>
        <v>380</v>
      </c>
      <c r="N21" s="7"/>
      <c r="O21" s="157"/>
      <c r="P21" s="157"/>
    </row>
    <row r="22" spans="1:16" ht="12.75">
      <c r="A22" s="151" t="str">
        <f>+'Scenario Inputs'!A33</f>
        <v>60 - 64</v>
      </c>
      <c r="B22" s="5">
        <f>+'Scenario Inputs'!B33</f>
        <v>12589423</v>
      </c>
      <c r="C22" s="183" t="s">
        <v>122</v>
      </c>
      <c r="D22" s="7">
        <f>+'Ind - Gross'!D22+'Group - Gross'!D22</f>
        <v>2000</v>
      </c>
      <c r="E22" s="7">
        <f t="shared" si="1"/>
        <v>1000</v>
      </c>
      <c r="F22" s="7">
        <f>+'Ind - Gross'!F22+'Group - Gross'!F22</f>
        <v>2000000</v>
      </c>
      <c r="G22" s="13">
        <f>+'Scenario Inputs'!C33</f>
        <v>0.247</v>
      </c>
      <c r="H22" s="8">
        <f t="shared" si="2"/>
        <v>0.571</v>
      </c>
      <c r="I22" s="13">
        <f t="shared" si="3"/>
        <v>0.14</v>
      </c>
      <c r="J22" s="7">
        <f t="shared" si="4"/>
        <v>3109.587481</v>
      </c>
      <c r="K22" s="7">
        <f t="shared" si="5"/>
        <v>0.28</v>
      </c>
      <c r="L22" s="9">
        <f t="shared" si="6"/>
        <v>280</v>
      </c>
      <c r="N22" s="7"/>
      <c r="O22" s="157"/>
      <c r="P22" s="157"/>
    </row>
    <row r="23" spans="1:16" ht="12.75">
      <c r="A23" s="151" t="str">
        <f>+'Scenario Inputs'!A34</f>
        <v>65 - 69</v>
      </c>
      <c r="B23" s="5">
        <f>+'Scenario Inputs'!B34</f>
        <v>9956467</v>
      </c>
      <c r="C23" s="183" t="s">
        <v>122</v>
      </c>
      <c r="D23" s="7">
        <f>+'Ind - Gross'!D23+'Group - Gross'!D23</f>
        <v>2000</v>
      </c>
      <c r="E23" s="7">
        <f t="shared" si="1"/>
        <v>1000</v>
      </c>
      <c r="F23" s="7">
        <f>+'Ind - Gross'!F23+'Group - Gross'!F23</f>
        <v>2000000</v>
      </c>
      <c r="G23" s="13">
        <f>+'Scenario Inputs'!C34</f>
        <v>0.165</v>
      </c>
      <c r="H23" s="8">
        <f t="shared" si="2"/>
        <v>0.571</v>
      </c>
      <c r="I23" s="13">
        <f t="shared" si="3"/>
        <v>0.09</v>
      </c>
      <c r="J23" s="7">
        <f t="shared" si="4"/>
        <v>1642.8170550000002</v>
      </c>
      <c r="K23" s="7">
        <f t="shared" si="5"/>
        <v>0.18</v>
      </c>
      <c r="L23" s="9">
        <f t="shared" si="6"/>
        <v>180</v>
      </c>
      <c r="N23" s="7"/>
      <c r="O23" s="157"/>
      <c r="P23" s="157"/>
    </row>
    <row r="24" spans="1:16" ht="12.75">
      <c r="A24" s="151" t="str">
        <f>+'Scenario Inputs'!A35</f>
        <v>70 - 74</v>
      </c>
      <c r="B24" s="5">
        <f>+'Scenario Inputs'!B35</f>
        <v>8507005</v>
      </c>
      <c r="C24" s="183" t="s">
        <v>122</v>
      </c>
      <c r="D24" s="7">
        <f>+'Ind - Gross'!D24+'Group - Gross'!D24</f>
        <v>2000</v>
      </c>
      <c r="E24" s="7">
        <f t="shared" si="1"/>
        <v>1000</v>
      </c>
      <c r="F24" s="7">
        <f>+'Ind - Gross'!F24+'Group - Gross'!F24</f>
        <v>2000000</v>
      </c>
      <c r="G24" s="13">
        <f>+'Scenario Inputs'!C35</f>
        <v>0.165</v>
      </c>
      <c r="H24" s="8">
        <f t="shared" si="2"/>
        <v>0.571</v>
      </c>
      <c r="I24" s="13">
        <f t="shared" si="3"/>
        <v>0.09</v>
      </c>
      <c r="J24" s="7">
        <f t="shared" si="4"/>
        <v>1403.655825</v>
      </c>
      <c r="K24" s="7">
        <f t="shared" si="5"/>
        <v>0.18</v>
      </c>
      <c r="L24" s="9">
        <f t="shared" si="6"/>
        <v>180</v>
      </c>
      <c r="N24" s="7"/>
      <c r="O24" s="157"/>
      <c r="P24" s="157"/>
    </row>
    <row r="25" spans="1:16" ht="12.75">
      <c r="A25" s="151" t="str">
        <f>+'Scenario Inputs'!A36</f>
        <v>75 - 79</v>
      </c>
      <c r="B25" s="5">
        <f>+'Scenario Inputs'!B36</f>
        <v>7410757</v>
      </c>
      <c r="C25" s="183" t="s">
        <v>122</v>
      </c>
      <c r="D25" s="7">
        <f>+'Ind - Gross'!D25+'Group - Gross'!D25</f>
        <v>2000</v>
      </c>
      <c r="E25" s="7">
        <f t="shared" si="1"/>
        <v>1000</v>
      </c>
      <c r="F25" s="7">
        <f>+'Ind - Gross'!F25+'Group - Gross'!F25</f>
        <v>2000000</v>
      </c>
      <c r="G25" s="13">
        <f>+'Scenario Inputs'!C36</f>
        <v>0.082</v>
      </c>
      <c r="H25" s="8">
        <f t="shared" si="2"/>
        <v>0.571</v>
      </c>
      <c r="I25" s="13">
        <f t="shared" si="3"/>
        <v>0.05</v>
      </c>
      <c r="J25" s="7">
        <f t="shared" si="4"/>
        <v>607.6820740000001</v>
      </c>
      <c r="K25" s="7">
        <f t="shared" si="5"/>
        <v>0.1</v>
      </c>
      <c r="L25" s="9">
        <f t="shared" si="6"/>
        <v>100</v>
      </c>
      <c r="N25" s="7"/>
      <c r="O25" s="157"/>
      <c r="P25" s="157"/>
    </row>
    <row r="26" spans="1:16" ht="12.75">
      <c r="A26" s="151" t="str">
        <f>+'Scenario Inputs'!A37</f>
        <v>80 - 84</v>
      </c>
      <c r="B26" s="5">
        <f>+'Scenario Inputs'!B37</f>
        <v>5560125</v>
      </c>
      <c r="C26" s="183" t="s">
        <v>122</v>
      </c>
      <c r="D26" s="7">
        <f>+'Ind - Gross'!D26+'Group - Gross'!D26</f>
        <v>2000</v>
      </c>
      <c r="E26" s="7">
        <f t="shared" si="1"/>
        <v>1000</v>
      </c>
      <c r="F26" s="7">
        <f>+'Ind - Gross'!F26+'Group - Gross'!F26</f>
        <v>2000000</v>
      </c>
      <c r="G26" s="13">
        <f>+'Scenario Inputs'!C37</f>
        <v>0.082</v>
      </c>
      <c r="H26" s="8">
        <f t="shared" si="2"/>
        <v>0.571</v>
      </c>
      <c r="I26" s="13">
        <f t="shared" si="3"/>
        <v>0.05</v>
      </c>
      <c r="J26" s="7">
        <f t="shared" si="4"/>
        <v>455.93025</v>
      </c>
      <c r="K26" s="7">
        <f t="shared" si="5"/>
        <v>0.1</v>
      </c>
      <c r="L26" s="9">
        <f t="shared" si="6"/>
        <v>100</v>
      </c>
      <c r="N26" s="7"/>
      <c r="O26" s="157"/>
      <c r="P26" s="157"/>
    </row>
    <row r="27" spans="1:16" ht="12.75">
      <c r="A27" s="50" t="str">
        <f>+'Scenario Inputs'!A38</f>
        <v>85+</v>
      </c>
      <c r="B27" s="51">
        <f>+'Scenario Inputs'!B38</f>
        <v>4859631</v>
      </c>
      <c r="C27" s="184" t="s">
        <v>122</v>
      </c>
      <c r="D27" s="52">
        <f>+'Ind - Gross'!D27+'Group - Gross'!D27</f>
        <v>2000</v>
      </c>
      <c r="E27" s="52">
        <f t="shared" si="1"/>
        <v>1000</v>
      </c>
      <c r="F27" s="52">
        <f>+'Ind - Gross'!F27+'Group - Gross'!F27</f>
        <v>2000000</v>
      </c>
      <c r="G27" s="66">
        <f>+'Scenario Inputs'!C38</f>
        <v>0.082</v>
      </c>
      <c r="H27" s="84">
        <f t="shared" si="2"/>
        <v>0.571</v>
      </c>
      <c r="I27" s="66">
        <f t="shared" si="3"/>
        <v>0.05</v>
      </c>
      <c r="J27" s="52">
        <f t="shared" si="4"/>
        <v>398.48974200000004</v>
      </c>
      <c r="K27" s="52">
        <f t="shared" si="5"/>
        <v>0.1</v>
      </c>
      <c r="L27" s="54">
        <f t="shared" si="6"/>
        <v>100</v>
      </c>
      <c r="N27" s="7"/>
      <c r="O27" s="157"/>
      <c r="P27" s="157"/>
    </row>
    <row r="28" spans="1:12" ht="4.5" customHeight="1">
      <c r="A28" s="47"/>
      <c r="B28" s="5"/>
      <c r="C28" s="6"/>
      <c r="D28" s="7"/>
      <c r="E28" s="41"/>
      <c r="F28" s="7"/>
      <c r="G28" s="15"/>
      <c r="H28" s="7"/>
      <c r="I28" s="7"/>
      <c r="J28" s="7"/>
      <c r="K28" s="7"/>
      <c r="L28" s="9"/>
    </row>
    <row r="29" spans="1:14" ht="12.75">
      <c r="A29" s="12" t="s">
        <v>3</v>
      </c>
      <c r="B29" s="5">
        <f>SUM(B10:B27)</f>
        <v>293655404</v>
      </c>
      <c r="D29" s="63">
        <f>SUM(D10:D27)</f>
        <v>36000</v>
      </c>
      <c r="F29" s="63">
        <f>SUM(F10:F27)</f>
        <v>36000000</v>
      </c>
      <c r="H29" s="7"/>
      <c r="I29" s="7"/>
      <c r="J29" s="7">
        <f>SUM(J10:J27)</f>
        <v>205545.515462</v>
      </c>
      <c r="K29" s="9">
        <f>SUM(K10:K27)</f>
        <v>11.94</v>
      </c>
      <c r="L29" s="150">
        <f>SUM(L10:L27)</f>
        <v>11940</v>
      </c>
      <c r="N29" s="14"/>
    </row>
    <row r="30" spans="7:12" ht="8.25" customHeight="1">
      <c r="G30" s="69"/>
      <c r="L30" s="11"/>
    </row>
    <row r="31" spans="4:14" ht="12.75">
      <c r="D31" s="6"/>
      <c r="H31" s="161"/>
      <c r="I31" s="69" t="s">
        <v>37</v>
      </c>
      <c r="J31" s="144">
        <f>1000*J29/B29</f>
        <v>0.6999548200447897</v>
      </c>
      <c r="K31" s="145">
        <f>1000*K29/$D$29</f>
        <v>0.33166666666666667</v>
      </c>
      <c r="L31" s="146">
        <f>1000*L29/F29</f>
        <v>0.33166666666666667</v>
      </c>
      <c r="N31" s="157"/>
    </row>
    <row r="32" spans="5:12" ht="4.5" customHeight="1">
      <c r="E32" s="69"/>
      <c r="F32" s="7"/>
      <c r="H32" s="65"/>
      <c r="I32" s="69"/>
      <c r="J32" s="65"/>
      <c r="K32" s="65"/>
      <c r="L32" s="4"/>
    </row>
    <row r="33" spans="1:12" ht="12.75">
      <c r="A33" s="38"/>
      <c r="B33" s="98"/>
      <c r="C33" s="98"/>
      <c r="D33" s="98"/>
      <c r="E33" s="69" t="s">
        <v>30</v>
      </c>
      <c r="F33" s="7">
        <f>+F29/D29</f>
        <v>1000</v>
      </c>
      <c r="G33" s="163"/>
      <c r="H33" s="147"/>
      <c r="I33" s="69" t="s">
        <v>62</v>
      </c>
      <c r="J33" s="147">
        <f>SUM(J10:J13)/J29</f>
        <v>0.2445935213083963</v>
      </c>
      <c r="K33" s="147">
        <f>SUM(K10:K13)/K29</f>
        <v>0.23618090452261306</v>
      </c>
      <c r="L33" s="147">
        <f>SUM(L10:L13)/L29</f>
        <v>0.23618090452261306</v>
      </c>
    </row>
    <row r="34" spans="3:12" ht="12.75">
      <c r="C34" s="157"/>
      <c r="D34" s="157"/>
      <c r="E34" s="69" t="str">
        <f>"Net Amount Inforce "&amp;ScaleW</f>
        <v>Net Amount Inforce (millions)</v>
      </c>
      <c r="F34" s="9">
        <f>+(F29-'Total - Reins'!ReinsCeded)/Scale</f>
        <v>35.964</v>
      </c>
      <c r="H34" s="162"/>
      <c r="I34" s="69" t="s">
        <v>63</v>
      </c>
      <c r="J34" s="148">
        <f>SUM(J14:J22)/J29</f>
        <v>0.7334717994753427</v>
      </c>
      <c r="K34" s="148">
        <f>SUM(K14:K22)/K29</f>
        <v>0.7085427135678393</v>
      </c>
      <c r="L34" s="148">
        <f>SUM(L14:L22)/L29</f>
        <v>0.7085427135678392</v>
      </c>
    </row>
    <row r="35" spans="4:12" ht="12.75">
      <c r="D35" s="63"/>
      <c r="E35" s="69"/>
      <c r="F35" s="98"/>
      <c r="H35" s="149"/>
      <c r="I35" s="69" t="s">
        <v>64</v>
      </c>
      <c r="J35" s="149">
        <f>SUM(J23:J27)/J29</f>
        <v>0.021934679216261074</v>
      </c>
      <c r="K35" s="149">
        <f>SUM(K23:K27)/K29</f>
        <v>0.055276381909547735</v>
      </c>
      <c r="L35" s="149">
        <f>SUM(L23:L27)/L29</f>
        <v>0.05527638190954774</v>
      </c>
    </row>
    <row r="36" spans="4:12" ht="12.75">
      <c r="D36" s="63"/>
      <c r="E36" s="69"/>
      <c r="F36" s="98"/>
      <c r="H36" s="149"/>
      <c r="I36" s="69"/>
      <c r="J36" s="149"/>
      <c r="K36" s="149"/>
      <c r="L36" s="149"/>
    </row>
    <row r="37" spans="8:12" ht="12.75">
      <c r="H37" s="132"/>
      <c r="I37" s="132"/>
      <c r="J37" s="132"/>
      <c r="K37" s="132"/>
      <c r="L37" s="132"/>
    </row>
    <row r="38" spans="2:12" ht="12.75">
      <c r="B38" s="67" t="s">
        <v>29</v>
      </c>
      <c r="C38" s="37"/>
      <c r="D38" s="37"/>
      <c r="G38" s="88"/>
      <c r="H38" s="58"/>
      <c r="I38" s="58"/>
      <c r="J38" s="58"/>
      <c r="K38" s="59"/>
      <c r="L38" s="143"/>
    </row>
    <row r="39" spans="1:12" ht="12.75">
      <c r="A39" s="56">
        <v>-1</v>
      </c>
      <c r="B39" s="3" t="str">
        <f>" "&amp;'Scenario Inputs'!$L$1&amp;", Column 6"</f>
        <v> Exhibit 1, Page 1, Column 6</v>
      </c>
      <c r="C39" s="37"/>
      <c r="D39" s="37"/>
      <c r="E39" s="56"/>
      <c r="G39" s="56">
        <v>-6</v>
      </c>
      <c r="H39" s="3" t="str">
        <f>" "&amp;'Scenario Inputs'!$L$1&amp;", Column 7"</f>
        <v> Exhibit 1, Page 1, Column 7</v>
      </c>
      <c r="I39" s="37"/>
      <c r="J39" s="37"/>
      <c r="L39" s="43"/>
    </row>
    <row r="40" spans="1:10" ht="12.75">
      <c r="A40" s="56">
        <v>-2</v>
      </c>
      <c r="B40" s="37" t="s">
        <v>160</v>
      </c>
      <c r="C40" s="37"/>
      <c r="D40" s="37"/>
      <c r="G40" s="56">
        <v>-7</v>
      </c>
      <c r="H40" s="3" t="str">
        <f>" "&amp;'Scenario Inputs'!$L$1&amp;", Entry 5"</f>
        <v> Exhibit 1, Page 1, Entry 5</v>
      </c>
      <c r="I40" s="37"/>
      <c r="J40" s="37"/>
    </row>
    <row r="41" spans="1:10" ht="12.75">
      <c r="A41" s="56">
        <v>-3</v>
      </c>
      <c r="B41" s="37" t="str">
        <f>IF(Scen="M"," Exhibit 3, Page 3, Column 3 + Exhibit 4, Page 3, Column 3"," Exhibit 6, Page 3, Column 3 + Exhibit 7, Page 3, Column 3")</f>
        <v> Exhibit 3, Page 3, Column 3 + Exhibit 4, Page 3, Column 3</v>
      </c>
      <c r="C41" s="37"/>
      <c r="D41" s="37"/>
      <c r="G41" s="56">
        <v>-8</v>
      </c>
      <c r="H41" s="3" t="s">
        <v>75</v>
      </c>
      <c r="I41" s="37"/>
      <c r="J41" s="37"/>
    </row>
    <row r="42" spans="1:8" s="37" customFormat="1" ht="12.75">
      <c r="A42" s="56">
        <v>-4</v>
      </c>
      <c r="B42" s="37" t="s">
        <v>110</v>
      </c>
      <c r="G42" s="56">
        <v>-9</v>
      </c>
      <c r="H42" s="37" t="s">
        <v>76</v>
      </c>
    </row>
    <row r="43" spans="1:8" s="37" customFormat="1" ht="12.75">
      <c r="A43" s="56">
        <v>-5</v>
      </c>
      <c r="B43" s="37" t="str">
        <f>IF(Scen="M"," Exhibit 3, Page 3, Column 5 + Exhibit 4, Page 3, Column 5"," Exhibit 6, Page 3, Column 5 + Exhibit 7, Page 3, Column 5")</f>
        <v> Exhibit 3, Page 3, Column 5 + Exhibit 4, Page 3, Column 5</v>
      </c>
      <c r="G43" s="56">
        <v>-10</v>
      </c>
      <c r="H43" s="37" t="s">
        <v>26</v>
      </c>
    </row>
    <row r="44" spans="7:8" s="37" customFormat="1" ht="12.75">
      <c r="G44" s="56">
        <v>-11</v>
      </c>
      <c r="H44" s="37" t="s">
        <v>15</v>
      </c>
    </row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</sheetData>
  <printOptions/>
  <pageMargins left="0.5" right="0.5" top="0.75" bottom="0.75" header="0.5" footer="0.35"/>
  <pageSetup fitToHeight="1" fitToWidth="1" horizontalDpi="600" verticalDpi="600" orientation="landscape" scale="86" r:id="rId1"/>
  <headerFooter alignWithMargins="0">
    <oddFooter>&amp;L&amp;8&amp;F  &amp;A&amp;C&amp;8MBA Actuaries, Inc.&amp;R&amp;8&amp;D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5.7109375" style="3" customWidth="1"/>
    <col min="3" max="3" width="15.8515625" style="3" customWidth="1"/>
    <col min="4" max="4" width="17.7109375" style="3" bestFit="1" customWidth="1"/>
    <col min="5" max="5" width="11.00390625" style="3" customWidth="1"/>
    <col min="6" max="6" width="15.421875" style="3" customWidth="1"/>
    <col min="7" max="7" width="16.8515625" style="3" bestFit="1" customWidth="1"/>
    <col min="8" max="8" width="9.421875" style="3" bestFit="1" customWidth="1"/>
    <col min="9" max="9" width="14.8515625" style="3" customWidth="1"/>
    <col min="10" max="10" width="1.8515625" style="3" customWidth="1"/>
    <col min="11" max="16384" width="9.140625" style="3" customWidth="1"/>
  </cols>
  <sheetData>
    <row r="1" ht="12.75">
      <c r="J1" s="12" t="str">
        <f>+'Format Vars'!B8</f>
        <v> Exhibit 3, Page 1</v>
      </c>
    </row>
    <row r="2" spans="1:9" ht="18">
      <c r="A2" s="70" t="str">
        <f>"Net Individual Claims - "&amp;scenario</f>
        <v>Net Individual Claims - Moderate Scenario</v>
      </c>
      <c r="B2" s="39"/>
      <c r="C2" s="39"/>
      <c r="D2" s="39"/>
      <c r="E2" s="39"/>
      <c r="F2" s="39"/>
      <c r="G2" s="39"/>
      <c r="H2" s="39"/>
      <c r="I2" s="39"/>
    </row>
    <row r="3" spans="1:9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  <c r="H3" s="39"/>
      <c r="I3" s="39"/>
    </row>
    <row r="5" spans="4:6" ht="12.75">
      <c r="D5" s="39"/>
      <c r="E5" s="39"/>
      <c r="F5" s="39"/>
    </row>
    <row r="6" spans="2:9" ht="12.75">
      <c r="B6" s="4" t="s">
        <v>20</v>
      </c>
      <c r="C6" s="4" t="s">
        <v>19</v>
      </c>
      <c r="D6" s="4"/>
      <c r="E6" s="4" t="s">
        <v>16</v>
      </c>
      <c r="F6" s="4" t="s">
        <v>17</v>
      </c>
      <c r="G6" s="4" t="s">
        <v>33</v>
      </c>
      <c r="I6" s="4" t="s">
        <v>33</v>
      </c>
    </row>
    <row r="7" spans="2:9" ht="12.75">
      <c r="B7" s="4" t="s">
        <v>2</v>
      </c>
      <c r="C7" s="4" t="s">
        <v>31</v>
      </c>
      <c r="D7" s="4" t="s">
        <v>33</v>
      </c>
      <c r="E7" s="4">
        <v>1000</v>
      </c>
      <c r="F7" s="4" t="s">
        <v>18</v>
      </c>
      <c r="G7" s="4" t="s">
        <v>34</v>
      </c>
      <c r="H7" s="4" t="s">
        <v>106</v>
      </c>
      <c r="I7" s="4" t="s">
        <v>35</v>
      </c>
    </row>
    <row r="8" spans="1:9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v>-6</v>
      </c>
      <c r="H8" s="48">
        <v>-7</v>
      </c>
      <c r="I8" s="48">
        <v>-8</v>
      </c>
    </row>
    <row r="9" ht="5.25" customHeight="1"/>
    <row r="10" spans="1:9" ht="12.75">
      <c r="A10" s="83" t="str">
        <f>+'Company Data'!A17</f>
        <v>0 - 4</v>
      </c>
      <c r="B10" s="7">
        <f>+'Ind - Gross'!L10</f>
        <v>710</v>
      </c>
      <c r="C10" s="7">
        <f>+'Ind - Reins'!G10</f>
        <v>0.71</v>
      </c>
      <c r="D10" s="7">
        <f aca="true" t="shared" si="0" ref="D10:D27">+B10-C10</f>
        <v>709.29</v>
      </c>
      <c r="E10" s="13">
        <f>+'Company Data'!B17</f>
        <v>1</v>
      </c>
      <c r="F10" s="7">
        <f aca="true" t="shared" si="1" ref="F10:F27">+D10*E10/1000</f>
        <v>0.70929</v>
      </c>
      <c r="G10" s="9">
        <f aca="true" t="shared" si="2" ref="G10:G27">+B10-F10-C10</f>
        <v>708.58071</v>
      </c>
      <c r="H10" s="86">
        <f aca="true" t="shared" si="3" ref="H10:H27">TaxOffset</f>
        <v>0.35</v>
      </c>
      <c r="I10" s="7">
        <f aca="true" t="shared" si="4" ref="I10:I27">+G10*(1-H10)</f>
        <v>460.57746149999997</v>
      </c>
    </row>
    <row r="11" spans="1:9" ht="12.75">
      <c r="A11" s="83" t="str">
        <f>+'Company Data'!A18</f>
        <v>5 - 9</v>
      </c>
      <c r="B11" s="7">
        <f>+'Ind - Gross'!L11</f>
        <v>140</v>
      </c>
      <c r="C11" s="7">
        <f>+'Ind - Reins'!G11</f>
        <v>0.14</v>
      </c>
      <c r="D11" s="7">
        <f t="shared" si="0"/>
        <v>139.86</v>
      </c>
      <c r="E11" s="13">
        <f>+'Company Data'!B18</f>
        <v>1</v>
      </c>
      <c r="F11" s="7">
        <f t="shared" si="1"/>
        <v>0.13986</v>
      </c>
      <c r="G11" s="9">
        <f t="shared" si="2"/>
        <v>139.72014000000001</v>
      </c>
      <c r="H11" s="86">
        <f t="shared" si="3"/>
        <v>0.35</v>
      </c>
      <c r="I11" s="7">
        <f t="shared" si="4"/>
        <v>90.81809100000001</v>
      </c>
    </row>
    <row r="12" spans="1:9" ht="12.75">
      <c r="A12" s="83" t="str">
        <f>+'Company Data'!A19</f>
        <v>10 - 14</v>
      </c>
      <c r="B12" s="7">
        <f>+'Ind - Gross'!L12</f>
        <v>140</v>
      </c>
      <c r="C12" s="7">
        <f>+'Ind - Reins'!G12</f>
        <v>0.14</v>
      </c>
      <c r="D12" s="7">
        <f t="shared" si="0"/>
        <v>139.86</v>
      </c>
      <c r="E12" s="13">
        <f>+'Company Data'!B19</f>
        <v>1</v>
      </c>
      <c r="F12" s="7">
        <f t="shared" si="1"/>
        <v>0.13986</v>
      </c>
      <c r="G12" s="9">
        <f t="shared" si="2"/>
        <v>139.72014000000001</v>
      </c>
      <c r="H12" s="86">
        <f t="shared" si="3"/>
        <v>0.35</v>
      </c>
      <c r="I12" s="7">
        <f t="shared" si="4"/>
        <v>90.81809100000001</v>
      </c>
    </row>
    <row r="13" spans="1:9" ht="12.75">
      <c r="A13" s="83" t="str">
        <f>+'Company Data'!A20</f>
        <v>15 - 19</v>
      </c>
      <c r="B13" s="7">
        <f>+'Ind - Gross'!L13</f>
        <v>420</v>
      </c>
      <c r="C13" s="7">
        <f>+'Ind - Reins'!G13</f>
        <v>0.42</v>
      </c>
      <c r="D13" s="7">
        <f t="shared" si="0"/>
        <v>419.58</v>
      </c>
      <c r="E13" s="13">
        <f>+'Company Data'!B20</f>
        <v>1</v>
      </c>
      <c r="F13" s="7">
        <f t="shared" si="1"/>
        <v>0.41958</v>
      </c>
      <c r="G13" s="9">
        <f t="shared" si="2"/>
        <v>419.16042</v>
      </c>
      <c r="H13" s="86">
        <f t="shared" si="3"/>
        <v>0.35</v>
      </c>
      <c r="I13" s="7">
        <f t="shared" si="4"/>
        <v>272.454273</v>
      </c>
    </row>
    <row r="14" spans="1:9" ht="12.75">
      <c r="A14" s="83" t="str">
        <f>+'Company Data'!A21</f>
        <v>20 - 24</v>
      </c>
      <c r="B14" s="7">
        <f>+'Ind - Gross'!L14</f>
        <v>610</v>
      </c>
      <c r="C14" s="7">
        <f>+'Ind - Reins'!G14</f>
        <v>0.61</v>
      </c>
      <c r="D14" s="7">
        <f t="shared" si="0"/>
        <v>609.39</v>
      </c>
      <c r="E14" s="13">
        <f>+'Company Data'!B21</f>
        <v>1</v>
      </c>
      <c r="F14" s="7">
        <f t="shared" si="1"/>
        <v>0.60939</v>
      </c>
      <c r="G14" s="9">
        <f t="shared" si="2"/>
        <v>608.78061</v>
      </c>
      <c r="H14" s="86">
        <f t="shared" si="3"/>
        <v>0.35</v>
      </c>
      <c r="I14" s="7">
        <f t="shared" si="4"/>
        <v>395.7073965</v>
      </c>
    </row>
    <row r="15" spans="1:9" ht="12.75">
      <c r="A15" s="83" t="str">
        <f>+'Company Data'!A22</f>
        <v>25 - 29</v>
      </c>
      <c r="B15" s="7">
        <f>+'Ind - Gross'!L15</f>
        <v>890</v>
      </c>
      <c r="C15" s="7">
        <f>+'Ind - Reins'!G15</f>
        <v>0.89</v>
      </c>
      <c r="D15" s="7">
        <f t="shared" si="0"/>
        <v>889.11</v>
      </c>
      <c r="E15" s="13">
        <f>+'Company Data'!B22</f>
        <v>1</v>
      </c>
      <c r="F15" s="7">
        <f t="shared" si="1"/>
        <v>0.8891100000000001</v>
      </c>
      <c r="G15" s="9">
        <f t="shared" si="2"/>
        <v>888.22089</v>
      </c>
      <c r="H15" s="86">
        <f t="shared" si="3"/>
        <v>0.35</v>
      </c>
      <c r="I15" s="7">
        <f t="shared" si="4"/>
        <v>577.3435785</v>
      </c>
    </row>
    <row r="16" spans="1:9" ht="12.75">
      <c r="A16" s="83" t="str">
        <f>+'Company Data'!A23</f>
        <v>30 - 34</v>
      </c>
      <c r="B16" s="7">
        <f>+'Ind - Gross'!L16</f>
        <v>890</v>
      </c>
      <c r="C16" s="7">
        <f>+'Ind - Reins'!G16</f>
        <v>0.89</v>
      </c>
      <c r="D16" s="7">
        <f t="shared" si="0"/>
        <v>889.11</v>
      </c>
      <c r="E16" s="13">
        <f>+'Company Data'!B23</f>
        <v>1</v>
      </c>
      <c r="F16" s="7">
        <f t="shared" si="1"/>
        <v>0.8891100000000001</v>
      </c>
      <c r="G16" s="9">
        <f t="shared" si="2"/>
        <v>888.22089</v>
      </c>
      <c r="H16" s="86">
        <f t="shared" si="3"/>
        <v>0.35</v>
      </c>
      <c r="I16" s="7">
        <f t="shared" si="4"/>
        <v>577.3435785</v>
      </c>
    </row>
    <row r="17" spans="1:9" ht="12.75">
      <c r="A17" s="83" t="str">
        <f>+'Company Data'!A24</f>
        <v>35 - 39</v>
      </c>
      <c r="B17" s="7">
        <f>+'Ind - Gross'!L17</f>
        <v>520</v>
      </c>
      <c r="C17" s="7">
        <f>+'Ind - Reins'!G17</f>
        <v>0.52</v>
      </c>
      <c r="D17" s="7">
        <f t="shared" si="0"/>
        <v>519.48</v>
      </c>
      <c r="E17" s="13">
        <f>+'Company Data'!B24</f>
        <v>1</v>
      </c>
      <c r="F17" s="7">
        <f t="shared" si="1"/>
        <v>0.51948</v>
      </c>
      <c r="G17" s="9">
        <f t="shared" si="2"/>
        <v>518.96052</v>
      </c>
      <c r="H17" s="86">
        <f t="shared" si="3"/>
        <v>0.35</v>
      </c>
      <c r="I17" s="7">
        <f t="shared" si="4"/>
        <v>337.324338</v>
      </c>
    </row>
    <row r="18" spans="1:9" ht="12.75">
      <c r="A18" s="83" t="str">
        <f>+'Company Data'!A25</f>
        <v>40 - 44</v>
      </c>
      <c r="B18" s="7">
        <f>+'Ind - Gross'!L18</f>
        <v>420</v>
      </c>
      <c r="C18" s="7">
        <f>+'Ind - Reins'!G18</f>
        <v>0.42</v>
      </c>
      <c r="D18" s="7">
        <f t="shared" si="0"/>
        <v>419.58</v>
      </c>
      <c r="E18" s="13">
        <f>+'Company Data'!B25</f>
        <v>1</v>
      </c>
      <c r="F18" s="7">
        <f t="shared" si="1"/>
        <v>0.41958</v>
      </c>
      <c r="G18" s="9">
        <f t="shared" si="2"/>
        <v>419.16042</v>
      </c>
      <c r="H18" s="86">
        <f t="shared" si="3"/>
        <v>0.35</v>
      </c>
      <c r="I18" s="7">
        <f t="shared" si="4"/>
        <v>272.454273</v>
      </c>
    </row>
    <row r="19" spans="1:9" ht="12.75">
      <c r="A19" s="83" t="str">
        <f>+'Company Data'!A26</f>
        <v>45 - 49</v>
      </c>
      <c r="B19" s="7">
        <f>+'Ind - Gross'!L19</f>
        <v>330</v>
      </c>
      <c r="C19" s="7">
        <f>+'Ind - Reins'!G19</f>
        <v>0.33</v>
      </c>
      <c r="D19" s="7">
        <f t="shared" si="0"/>
        <v>329.67</v>
      </c>
      <c r="E19" s="13">
        <f>+'Company Data'!B26</f>
        <v>1</v>
      </c>
      <c r="F19" s="7">
        <f t="shared" si="1"/>
        <v>0.32967</v>
      </c>
      <c r="G19" s="9">
        <f t="shared" si="2"/>
        <v>329.34033</v>
      </c>
      <c r="H19" s="86">
        <f t="shared" si="3"/>
        <v>0.35</v>
      </c>
      <c r="I19" s="7">
        <f t="shared" si="4"/>
        <v>214.0712145</v>
      </c>
    </row>
    <row r="20" spans="1:9" ht="12.75">
      <c r="A20" s="83" t="str">
        <f>+'Company Data'!A27</f>
        <v>50 - 54</v>
      </c>
      <c r="B20" s="7">
        <f>+'Ind - Gross'!L20</f>
        <v>240</v>
      </c>
      <c r="C20" s="7">
        <f>+'Ind - Reins'!G20</f>
        <v>0.24</v>
      </c>
      <c r="D20" s="7">
        <f t="shared" si="0"/>
        <v>239.76</v>
      </c>
      <c r="E20" s="13">
        <f>+'Company Data'!B27</f>
        <v>1</v>
      </c>
      <c r="F20" s="7">
        <f t="shared" si="1"/>
        <v>0.23976</v>
      </c>
      <c r="G20" s="9">
        <f t="shared" si="2"/>
        <v>239.52024</v>
      </c>
      <c r="H20" s="86">
        <f t="shared" si="3"/>
        <v>0.35</v>
      </c>
      <c r="I20" s="7">
        <f t="shared" si="4"/>
        <v>155.688156</v>
      </c>
    </row>
    <row r="21" spans="1:9" ht="12.75">
      <c r="A21" s="83" t="str">
        <f>+'Company Data'!A28</f>
        <v>55 - 59</v>
      </c>
      <c r="B21" s="7">
        <f>+'Ind - Gross'!L21</f>
        <v>190</v>
      </c>
      <c r="C21" s="7">
        <f>+'Ind - Reins'!G21</f>
        <v>0.19</v>
      </c>
      <c r="D21" s="7">
        <f t="shared" si="0"/>
        <v>189.81</v>
      </c>
      <c r="E21" s="13">
        <f>+'Company Data'!B28</f>
        <v>1</v>
      </c>
      <c r="F21" s="7">
        <f t="shared" si="1"/>
        <v>0.18981</v>
      </c>
      <c r="G21" s="9">
        <f t="shared" si="2"/>
        <v>189.62019</v>
      </c>
      <c r="H21" s="86">
        <f t="shared" si="3"/>
        <v>0.35</v>
      </c>
      <c r="I21" s="7">
        <f t="shared" si="4"/>
        <v>123.25312350000002</v>
      </c>
    </row>
    <row r="22" spans="1:9" ht="12.75">
      <c r="A22" s="83" t="str">
        <f>+'Company Data'!A29</f>
        <v>60 - 64</v>
      </c>
      <c r="B22" s="7">
        <f>+'Ind - Gross'!L22</f>
        <v>140</v>
      </c>
      <c r="C22" s="7">
        <f>+'Ind - Reins'!G22</f>
        <v>0.14</v>
      </c>
      <c r="D22" s="7">
        <f t="shared" si="0"/>
        <v>139.86</v>
      </c>
      <c r="E22" s="13">
        <f>+'Company Data'!B29</f>
        <v>1</v>
      </c>
      <c r="F22" s="7">
        <f t="shared" si="1"/>
        <v>0.13986</v>
      </c>
      <c r="G22" s="63">
        <f t="shared" si="2"/>
        <v>139.72014000000001</v>
      </c>
      <c r="H22" s="86">
        <f t="shared" si="3"/>
        <v>0.35</v>
      </c>
      <c r="I22" s="7">
        <f t="shared" si="4"/>
        <v>90.81809100000001</v>
      </c>
    </row>
    <row r="23" spans="1:9" ht="12.75">
      <c r="A23" s="83" t="str">
        <f>+'Company Data'!A30</f>
        <v>65 - 69</v>
      </c>
      <c r="B23" s="7">
        <f>+'Ind - Gross'!L23</f>
        <v>90</v>
      </c>
      <c r="C23" s="7">
        <f>+'Ind - Reins'!G23</f>
        <v>0.09</v>
      </c>
      <c r="D23" s="7">
        <f t="shared" si="0"/>
        <v>89.91</v>
      </c>
      <c r="E23" s="13">
        <f>+'Company Data'!B30</f>
        <v>1</v>
      </c>
      <c r="F23" s="7">
        <f t="shared" si="1"/>
        <v>0.08990999999999999</v>
      </c>
      <c r="G23" s="63">
        <f t="shared" si="2"/>
        <v>89.82009</v>
      </c>
      <c r="H23" s="86">
        <f t="shared" si="3"/>
        <v>0.35</v>
      </c>
      <c r="I23" s="7">
        <f t="shared" si="4"/>
        <v>58.3830585</v>
      </c>
    </row>
    <row r="24" spans="1:9" ht="12.75">
      <c r="A24" s="83" t="str">
        <f>+'Company Data'!A31</f>
        <v>70 - 74</v>
      </c>
      <c r="B24" s="7">
        <f>+'Ind - Gross'!L24</f>
        <v>90</v>
      </c>
      <c r="C24" s="7">
        <f>+'Ind - Reins'!G24</f>
        <v>0.09</v>
      </c>
      <c r="D24" s="7">
        <f t="shared" si="0"/>
        <v>89.91</v>
      </c>
      <c r="E24" s="13">
        <f>+'Company Data'!B31</f>
        <v>1</v>
      </c>
      <c r="F24" s="7">
        <f t="shared" si="1"/>
        <v>0.08990999999999999</v>
      </c>
      <c r="G24" s="63">
        <f t="shared" si="2"/>
        <v>89.82009</v>
      </c>
      <c r="H24" s="86">
        <f t="shared" si="3"/>
        <v>0.35</v>
      </c>
      <c r="I24" s="7">
        <f t="shared" si="4"/>
        <v>58.3830585</v>
      </c>
    </row>
    <row r="25" spans="1:9" ht="12.75">
      <c r="A25" s="83" t="str">
        <f>+'Company Data'!A32</f>
        <v>75 - 79</v>
      </c>
      <c r="B25" s="7">
        <f>+'Ind - Gross'!L25</f>
        <v>50</v>
      </c>
      <c r="C25" s="7">
        <f>+'Ind - Reins'!G25</f>
        <v>0.05</v>
      </c>
      <c r="D25" s="7">
        <f t="shared" si="0"/>
        <v>49.95</v>
      </c>
      <c r="E25" s="13">
        <f>+'Company Data'!B32</f>
        <v>1</v>
      </c>
      <c r="F25" s="7">
        <f t="shared" si="1"/>
        <v>0.04995</v>
      </c>
      <c r="G25" s="63">
        <f t="shared" si="2"/>
        <v>49.90005</v>
      </c>
      <c r="H25" s="86">
        <f t="shared" si="3"/>
        <v>0.35</v>
      </c>
      <c r="I25" s="7">
        <f t="shared" si="4"/>
        <v>32.4350325</v>
      </c>
    </row>
    <row r="26" spans="1:9" ht="12.75">
      <c r="A26" s="83" t="str">
        <f>+'Company Data'!A33</f>
        <v>80 - 84</v>
      </c>
      <c r="B26" s="7">
        <f>+'Ind - Gross'!L26</f>
        <v>50</v>
      </c>
      <c r="C26" s="7">
        <f>+'Ind - Reins'!G26</f>
        <v>0.05</v>
      </c>
      <c r="D26" s="7">
        <f t="shared" si="0"/>
        <v>49.95</v>
      </c>
      <c r="E26" s="13">
        <f>+'Company Data'!B33</f>
        <v>1</v>
      </c>
      <c r="F26" s="7">
        <f t="shared" si="1"/>
        <v>0.04995</v>
      </c>
      <c r="G26" s="63">
        <f t="shared" si="2"/>
        <v>49.90005</v>
      </c>
      <c r="H26" s="86">
        <f t="shared" si="3"/>
        <v>0.35</v>
      </c>
      <c r="I26" s="7">
        <f t="shared" si="4"/>
        <v>32.4350325</v>
      </c>
    </row>
    <row r="27" spans="1:9" ht="12.75">
      <c r="A27" s="50" t="str">
        <f>+'Company Data'!A34</f>
        <v>85+</v>
      </c>
      <c r="B27" s="52">
        <f>+'Ind - Gross'!L27</f>
        <v>50</v>
      </c>
      <c r="C27" s="52">
        <f>+'Ind - Reins'!G27</f>
        <v>0.05</v>
      </c>
      <c r="D27" s="52">
        <f t="shared" si="0"/>
        <v>49.95</v>
      </c>
      <c r="E27" s="66">
        <f>+'Company Data'!B34</f>
        <v>1</v>
      </c>
      <c r="F27" s="52">
        <f t="shared" si="1"/>
        <v>0.04995</v>
      </c>
      <c r="G27" s="81">
        <f t="shared" si="2"/>
        <v>49.90005</v>
      </c>
      <c r="H27" s="87">
        <f t="shared" si="3"/>
        <v>0.35</v>
      </c>
      <c r="I27" s="52">
        <f t="shared" si="4"/>
        <v>32.4350325</v>
      </c>
    </row>
    <row r="28" ht="6" customHeight="1">
      <c r="A28" s="47"/>
    </row>
    <row r="29" spans="1:9" ht="12.75">
      <c r="A29" s="12" t="s">
        <v>3</v>
      </c>
      <c r="B29" s="9">
        <f>SUM(B10:B27)</f>
        <v>5970</v>
      </c>
      <c r="C29" s="9">
        <f>SUM(C10:C27)</f>
        <v>5.97</v>
      </c>
      <c r="D29" s="9">
        <f>SUM(D10:D27)</f>
        <v>5964.03</v>
      </c>
      <c r="E29" s="9"/>
      <c r="F29" s="9">
        <f>SUM(F10:F27)</f>
        <v>5.964029999999999</v>
      </c>
      <c r="G29" s="9">
        <f>SUM(G10:G27)</f>
        <v>5958.065970000001</v>
      </c>
      <c r="I29" s="9">
        <f>SUM(I10:I27)</f>
        <v>3872.742880500001</v>
      </c>
    </row>
    <row r="30" ht="6" customHeight="1">
      <c r="F30" s="14"/>
    </row>
    <row r="31" spans="2:9" ht="12.75">
      <c r="B31" s="69" t="s">
        <v>111</v>
      </c>
      <c r="C31" s="175">
        <f>+C29/$B$29</f>
        <v>0.001</v>
      </c>
      <c r="D31" s="175">
        <f>+D29/$B$29</f>
        <v>0.999</v>
      </c>
      <c r="E31" s="80"/>
      <c r="F31" s="175">
        <f>+F29/$B$29</f>
        <v>0.0009989999999999999</v>
      </c>
      <c r="G31" s="175">
        <f>+G29/$B$29</f>
        <v>0.9980010000000001</v>
      </c>
      <c r="H31" s="80"/>
      <c r="I31" s="175">
        <f>+I29/$B$29</f>
        <v>0.6487006500000001</v>
      </c>
    </row>
    <row r="32" ht="12.75">
      <c r="F32" s="14"/>
    </row>
    <row r="33" ht="12.75">
      <c r="F33" s="14"/>
    </row>
    <row r="34" spans="2:6" ht="12.75">
      <c r="B34" s="130" t="s">
        <v>29</v>
      </c>
      <c r="C34" s="37"/>
      <c r="D34" s="37"/>
      <c r="E34" s="37"/>
      <c r="F34" s="37"/>
    </row>
    <row r="35" spans="1:6" ht="12.75">
      <c r="A35" s="56">
        <v>-1</v>
      </c>
      <c r="B35" s="3" t="str">
        <f>+'Ind - Gross'!M1&amp;", Column 11"</f>
        <v> Exhibit 3, Page 3, Column 11</v>
      </c>
      <c r="C35" s="37"/>
      <c r="D35" s="56">
        <f>+A38-1</f>
        <v>-5</v>
      </c>
      <c r="E35" s="3" t="s">
        <v>93</v>
      </c>
      <c r="F35" s="37"/>
    </row>
    <row r="36" spans="1:6" ht="12.75">
      <c r="A36" s="56">
        <f>+A35-1</f>
        <v>-2</v>
      </c>
      <c r="B36" s="3" t="str">
        <f>+'Ind - Reins'!H1&amp;", Column 6"</f>
        <v> Exhibit 3, Page 2, Column 6</v>
      </c>
      <c r="D36" s="56">
        <f>+D35-1</f>
        <v>-6</v>
      </c>
      <c r="E36" s="3" t="s">
        <v>94</v>
      </c>
      <c r="F36" s="37"/>
    </row>
    <row r="37" spans="1:6" ht="12.75">
      <c r="A37" s="56">
        <f>+A36-1</f>
        <v>-3</v>
      </c>
      <c r="B37" s="3" t="s">
        <v>92</v>
      </c>
      <c r="C37" s="37"/>
      <c r="D37" s="56">
        <f>+D36-1</f>
        <v>-7</v>
      </c>
      <c r="E37" s="3" t="s">
        <v>113</v>
      </c>
      <c r="F37" s="37"/>
    </row>
    <row r="38" spans="1:6" ht="12.75">
      <c r="A38" s="56">
        <f>+A37-1</f>
        <v>-4</v>
      </c>
      <c r="B38" s="3" t="s">
        <v>170</v>
      </c>
      <c r="C38" s="37"/>
      <c r="D38" s="56">
        <f>+D37-1</f>
        <v>-8</v>
      </c>
      <c r="E38" s="3" t="s">
        <v>95</v>
      </c>
      <c r="F3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</sheetData>
  <printOptions horizontalCentered="1"/>
  <pageMargins left="0.5" right="0.5" top="0.75" bottom="0.75" header="0.5" footer="0.35"/>
  <pageSetup fitToHeight="1" fitToWidth="1" horizontalDpi="600" verticalDpi="600" orientation="landscape" r:id="rId1"/>
  <headerFooter alignWithMargins="0">
    <oddFooter>&amp;L&amp;8&amp;F  &amp;A&amp;C&amp;8MBA Actuaries, Inc.&amp;R&amp;8&amp;D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" customWidth="1"/>
    <col min="2" max="2" width="12.7109375" style="3" customWidth="1"/>
    <col min="3" max="3" width="15.7109375" style="3" customWidth="1"/>
    <col min="4" max="4" width="12.7109375" style="3" customWidth="1"/>
    <col min="5" max="5" width="15.7109375" style="3" customWidth="1"/>
    <col min="6" max="6" width="12.7109375" style="3" customWidth="1"/>
    <col min="7" max="7" width="15.7109375" style="3" customWidth="1"/>
    <col min="8" max="8" width="2.00390625" style="3" customWidth="1"/>
    <col min="9" max="16384" width="9.140625" style="3" customWidth="1"/>
  </cols>
  <sheetData>
    <row r="1" ht="12.75">
      <c r="H1" s="12" t="str">
        <f>+'Format Vars'!B9</f>
        <v> Exhibit 3, Page 2</v>
      </c>
    </row>
    <row r="2" spans="1:7" ht="18">
      <c r="A2" s="70" t="str">
        <f>"Individual Reinsurance Analysis - "&amp;scenario</f>
        <v>Individual Reinsurance Analysis - Moderate Scenario</v>
      </c>
      <c r="B2" s="39"/>
      <c r="C2" s="39"/>
      <c r="D2" s="39"/>
      <c r="E2" s="39"/>
      <c r="F2" s="39"/>
      <c r="G2" s="39"/>
    </row>
    <row r="3" spans="1:9" ht="15">
      <c r="A3" s="71" t="str">
        <f>"General population "&amp;ROUND(XSDths,1)&amp;" excess deaths per 1000, "&amp;""""&amp;curve&amp;" """&amp;" mortality curve"</f>
        <v>General population 0.7 excess deaths per 1000, "V\ " mortality curve</v>
      </c>
      <c r="B3" s="39"/>
      <c r="C3" s="39"/>
      <c r="D3" s="39"/>
      <c r="E3" s="39"/>
      <c r="F3" s="39"/>
      <c r="G3" s="39"/>
      <c r="I3" s="40"/>
    </row>
    <row r="4" spans="5:9" ht="12.75">
      <c r="E4" s="57"/>
      <c r="F4" s="64"/>
      <c r="G4" s="58"/>
      <c r="I4" s="40"/>
    </row>
    <row r="5" spans="2:7" ht="12.75">
      <c r="B5" s="4"/>
      <c r="E5" s="57"/>
      <c r="F5" s="55"/>
      <c r="G5" s="58"/>
    </row>
    <row r="6" spans="2:12" ht="12.75">
      <c r="B6" s="4" t="s">
        <v>19</v>
      </c>
      <c r="C6" s="4" t="s">
        <v>19</v>
      </c>
      <c r="D6" s="39" t="s">
        <v>8</v>
      </c>
      <c r="E6" s="4" t="s">
        <v>19</v>
      </c>
      <c r="F6" s="4" t="s">
        <v>19</v>
      </c>
      <c r="G6" s="4" t="s">
        <v>19</v>
      </c>
      <c r="H6" s="73"/>
      <c r="I6" s="73"/>
      <c r="J6" s="73"/>
      <c r="K6" s="4"/>
      <c r="L6" s="4"/>
    </row>
    <row r="7" spans="2:12" ht="12.75">
      <c r="B7" s="4" t="s">
        <v>25</v>
      </c>
      <c r="C7" s="4" t="s">
        <v>162</v>
      </c>
      <c r="D7" s="4" t="s">
        <v>7</v>
      </c>
      <c r="E7" s="4" t="s">
        <v>2</v>
      </c>
      <c r="F7" s="4" t="s">
        <v>32</v>
      </c>
      <c r="G7" s="4" t="s">
        <v>31</v>
      </c>
      <c r="H7" s="4"/>
      <c r="I7" s="4"/>
      <c r="J7" s="4"/>
      <c r="K7" s="4"/>
      <c r="L7" s="4"/>
    </row>
    <row r="8" spans="1:12" ht="12.75">
      <c r="A8" s="4" t="s">
        <v>5</v>
      </c>
      <c r="B8" s="48">
        <v>-1</v>
      </c>
      <c r="C8" s="48">
        <v>-2</v>
      </c>
      <c r="D8" s="48">
        <v>-3</v>
      </c>
      <c r="E8" s="48">
        <v>-4</v>
      </c>
      <c r="F8" s="48">
        <v>-5</v>
      </c>
      <c r="G8" s="48">
        <v>-6</v>
      </c>
      <c r="H8" s="48"/>
      <c r="I8" s="48"/>
      <c r="J8" s="48"/>
      <c r="K8" s="48"/>
      <c r="L8" s="4"/>
    </row>
    <row r="9" ht="5.25" customHeight="1"/>
    <row r="10" spans="1:7" ht="12.75">
      <c r="A10" s="4" t="str">
        <f>+'Ind - Gross'!A10</f>
        <v>0 - 4</v>
      </c>
      <c r="B10" s="180" t="s">
        <v>122</v>
      </c>
      <c r="C10" s="7">
        <f>+'Company Data'!E17</f>
        <v>1000</v>
      </c>
      <c r="D10" s="61">
        <f>+'Ind - Gross'!I10</f>
        <v>0.71</v>
      </c>
      <c r="E10" s="7">
        <f>+C10*D10/1000</f>
        <v>0.71</v>
      </c>
      <c r="F10" s="8">
        <f aca="true" t="shared" si="0" ref="F10:F27">ReinsCredit</f>
        <v>1</v>
      </c>
      <c r="G10" s="9">
        <f aca="true" t="shared" si="1" ref="G10:G27">+F10*E10</f>
        <v>0.71</v>
      </c>
    </row>
    <row r="11" spans="1:7" ht="12.75">
      <c r="A11" s="4" t="str">
        <f>+'Ind - Gross'!A11</f>
        <v>5 - 9</v>
      </c>
      <c r="B11" s="180" t="s">
        <v>122</v>
      </c>
      <c r="C11" s="7">
        <f>+'Company Data'!E18</f>
        <v>1000</v>
      </c>
      <c r="D11" s="61">
        <f>+'Ind - Gross'!I11</f>
        <v>0.14</v>
      </c>
      <c r="E11" s="7">
        <f aca="true" t="shared" si="2" ref="E11:E27">+C11*D11/1000</f>
        <v>0.14</v>
      </c>
      <c r="F11" s="8">
        <f t="shared" si="0"/>
        <v>1</v>
      </c>
      <c r="G11" s="9">
        <f t="shared" si="1"/>
        <v>0.14</v>
      </c>
    </row>
    <row r="12" spans="1:7" ht="12.75">
      <c r="A12" s="4" t="str">
        <f>+'Ind - Gross'!A12</f>
        <v>10 - 14</v>
      </c>
      <c r="B12" s="180" t="s">
        <v>122</v>
      </c>
      <c r="C12" s="7">
        <f>+'Company Data'!E19</f>
        <v>1000</v>
      </c>
      <c r="D12" s="61">
        <f>+'Ind - Gross'!I12</f>
        <v>0.14</v>
      </c>
      <c r="E12" s="7">
        <f t="shared" si="2"/>
        <v>0.14</v>
      </c>
      <c r="F12" s="8">
        <f t="shared" si="0"/>
        <v>1</v>
      </c>
      <c r="G12" s="9">
        <f t="shared" si="1"/>
        <v>0.14</v>
      </c>
    </row>
    <row r="13" spans="1:7" ht="12.75">
      <c r="A13" s="4" t="str">
        <f>+'Ind - Gross'!A13</f>
        <v>15 - 19</v>
      </c>
      <c r="B13" s="180" t="s">
        <v>122</v>
      </c>
      <c r="C13" s="7">
        <f>+'Company Data'!E20</f>
        <v>1000</v>
      </c>
      <c r="D13" s="61">
        <f>+'Ind - Gross'!I13</f>
        <v>0.42</v>
      </c>
      <c r="E13" s="7">
        <f t="shared" si="2"/>
        <v>0.42</v>
      </c>
      <c r="F13" s="8">
        <f t="shared" si="0"/>
        <v>1</v>
      </c>
      <c r="G13" s="9">
        <f t="shared" si="1"/>
        <v>0.42</v>
      </c>
    </row>
    <row r="14" spans="1:7" ht="12.75">
      <c r="A14" s="4" t="str">
        <f>+'Ind - Gross'!A14</f>
        <v>20 - 24</v>
      </c>
      <c r="B14" s="180" t="s">
        <v>122</v>
      </c>
      <c r="C14" s="7">
        <f>+'Company Data'!E21</f>
        <v>1000</v>
      </c>
      <c r="D14" s="61">
        <f>+'Ind - Gross'!I14</f>
        <v>0.61</v>
      </c>
      <c r="E14" s="7">
        <f t="shared" si="2"/>
        <v>0.61</v>
      </c>
      <c r="F14" s="8">
        <f t="shared" si="0"/>
        <v>1</v>
      </c>
      <c r="G14" s="9">
        <f t="shared" si="1"/>
        <v>0.61</v>
      </c>
    </row>
    <row r="15" spans="1:7" ht="12.75">
      <c r="A15" s="4" t="str">
        <f>+'Ind - Gross'!A15</f>
        <v>25 - 29</v>
      </c>
      <c r="B15" s="180" t="s">
        <v>122</v>
      </c>
      <c r="C15" s="7">
        <f>+'Company Data'!E22</f>
        <v>1000</v>
      </c>
      <c r="D15" s="61">
        <f>+'Ind - Gross'!I15</f>
        <v>0.89</v>
      </c>
      <c r="E15" s="7">
        <f t="shared" si="2"/>
        <v>0.89</v>
      </c>
      <c r="F15" s="8">
        <f t="shared" si="0"/>
        <v>1</v>
      </c>
      <c r="G15" s="9">
        <f t="shared" si="1"/>
        <v>0.89</v>
      </c>
    </row>
    <row r="16" spans="1:7" ht="12.75">
      <c r="A16" s="4" t="str">
        <f>+'Ind - Gross'!A16</f>
        <v>30 - 34</v>
      </c>
      <c r="B16" s="180" t="s">
        <v>122</v>
      </c>
      <c r="C16" s="7">
        <f>+'Company Data'!E23</f>
        <v>1000</v>
      </c>
      <c r="D16" s="61">
        <f>+'Ind - Gross'!I16</f>
        <v>0.89</v>
      </c>
      <c r="E16" s="7">
        <f t="shared" si="2"/>
        <v>0.89</v>
      </c>
      <c r="F16" s="8">
        <f t="shared" si="0"/>
        <v>1</v>
      </c>
      <c r="G16" s="9">
        <f t="shared" si="1"/>
        <v>0.89</v>
      </c>
    </row>
    <row r="17" spans="1:7" ht="12.75">
      <c r="A17" s="4" t="str">
        <f>+'Ind - Gross'!A17</f>
        <v>35 - 39</v>
      </c>
      <c r="B17" s="180" t="s">
        <v>122</v>
      </c>
      <c r="C17" s="7">
        <f>+'Company Data'!E24</f>
        <v>1000</v>
      </c>
      <c r="D17" s="61">
        <f>+'Ind - Gross'!I17</f>
        <v>0.52</v>
      </c>
      <c r="E17" s="7">
        <f t="shared" si="2"/>
        <v>0.52</v>
      </c>
      <c r="F17" s="8">
        <f t="shared" si="0"/>
        <v>1</v>
      </c>
      <c r="G17" s="9">
        <f t="shared" si="1"/>
        <v>0.52</v>
      </c>
    </row>
    <row r="18" spans="1:7" ht="12.75">
      <c r="A18" s="4" t="str">
        <f>+'Ind - Gross'!A18</f>
        <v>40 - 44</v>
      </c>
      <c r="B18" s="180" t="s">
        <v>122</v>
      </c>
      <c r="C18" s="7">
        <f>+'Company Data'!E25</f>
        <v>1000</v>
      </c>
      <c r="D18" s="61">
        <f>+'Ind - Gross'!I18</f>
        <v>0.42</v>
      </c>
      <c r="E18" s="7">
        <f t="shared" si="2"/>
        <v>0.42</v>
      </c>
      <c r="F18" s="8">
        <f t="shared" si="0"/>
        <v>1</v>
      </c>
      <c r="G18" s="9">
        <f t="shared" si="1"/>
        <v>0.42</v>
      </c>
    </row>
    <row r="19" spans="1:7" ht="12.75">
      <c r="A19" s="4" t="str">
        <f>+'Ind - Gross'!A19</f>
        <v>45 - 49</v>
      </c>
      <c r="B19" s="180" t="s">
        <v>122</v>
      </c>
      <c r="C19" s="7">
        <f>+'Company Data'!E26</f>
        <v>1000</v>
      </c>
      <c r="D19" s="61">
        <f>+'Ind - Gross'!I19</f>
        <v>0.33</v>
      </c>
      <c r="E19" s="7">
        <f t="shared" si="2"/>
        <v>0.33</v>
      </c>
      <c r="F19" s="8">
        <f t="shared" si="0"/>
        <v>1</v>
      </c>
      <c r="G19" s="9">
        <f t="shared" si="1"/>
        <v>0.33</v>
      </c>
    </row>
    <row r="20" spans="1:7" ht="12.75">
      <c r="A20" s="4" t="str">
        <f>+'Ind - Gross'!A20</f>
        <v>50 - 54</v>
      </c>
      <c r="B20" s="180" t="s">
        <v>122</v>
      </c>
      <c r="C20" s="7">
        <f>+'Company Data'!E27</f>
        <v>1000</v>
      </c>
      <c r="D20" s="61">
        <f>+'Ind - Gross'!I20</f>
        <v>0.24</v>
      </c>
      <c r="E20" s="7">
        <f t="shared" si="2"/>
        <v>0.24</v>
      </c>
      <c r="F20" s="8">
        <f t="shared" si="0"/>
        <v>1</v>
      </c>
      <c r="G20" s="9">
        <f t="shared" si="1"/>
        <v>0.24</v>
      </c>
    </row>
    <row r="21" spans="1:7" ht="12.75">
      <c r="A21" s="4" t="str">
        <f>+'Ind - Gross'!A21</f>
        <v>55 - 59</v>
      </c>
      <c r="B21" s="180" t="s">
        <v>122</v>
      </c>
      <c r="C21" s="7">
        <f>+'Company Data'!E28</f>
        <v>1000</v>
      </c>
      <c r="D21" s="61">
        <f>+'Ind - Gross'!I21</f>
        <v>0.19</v>
      </c>
      <c r="E21" s="7">
        <f t="shared" si="2"/>
        <v>0.19</v>
      </c>
      <c r="F21" s="8">
        <f t="shared" si="0"/>
        <v>1</v>
      </c>
      <c r="G21" s="9">
        <f t="shared" si="1"/>
        <v>0.19</v>
      </c>
    </row>
    <row r="22" spans="1:7" ht="12.75">
      <c r="A22" s="4" t="str">
        <f>+'Ind - Gross'!A22</f>
        <v>60 - 64</v>
      </c>
      <c r="B22" s="180" t="s">
        <v>122</v>
      </c>
      <c r="C22" s="7">
        <f>+'Company Data'!E29</f>
        <v>1000</v>
      </c>
      <c r="D22" s="61">
        <f>+'Ind - Gross'!I22</f>
        <v>0.14</v>
      </c>
      <c r="E22" s="7">
        <f t="shared" si="2"/>
        <v>0.14</v>
      </c>
      <c r="F22" s="8">
        <f t="shared" si="0"/>
        <v>1</v>
      </c>
      <c r="G22" s="9">
        <f t="shared" si="1"/>
        <v>0.14</v>
      </c>
    </row>
    <row r="23" spans="1:7" ht="12.75">
      <c r="A23" s="4" t="str">
        <f>+'Ind - Gross'!A23</f>
        <v>65 - 69</v>
      </c>
      <c r="B23" s="180" t="s">
        <v>122</v>
      </c>
      <c r="C23" s="7">
        <f>+'Company Data'!E30</f>
        <v>1000</v>
      </c>
      <c r="D23" s="61">
        <f>+'Ind - Gross'!I23</f>
        <v>0.09</v>
      </c>
      <c r="E23" s="7">
        <f t="shared" si="2"/>
        <v>0.09</v>
      </c>
      <c r="F23" s="8">
        <f t="shared" si="0"/>
        <v>1</v>
      </c>
      <c r="G23" s="9">
        <f t="shared" si="1"/>
        <v>0.09</v>
      </c>
    </row>
    <row r="24" spans="1:7" ht="12.75">
      <c r="A24" s="4" t="str">
        <f>+'Ind - Gross'!A24</f>
        <v>70 - 74</v>
      </c>
      <c r="B24" s="180" t="s">
        <v>122</v>
      </c>
      <c r="C24" s="7">
        <f>+'Company Data'!E31</f>
        <v>1000</v>
      </c>
      <c r="D24" s="61">
        <f>+'Ind - Gross'!I24</f>
        <v>0.09</v>
      </c>
      <c r="E24" s="7">
        <f t="shared" si="2"/>
        <v>0.09</v>
      </c>
      <c r="F24" s="8">
        <f t="shared" si="0"/>
        <v>1</v>
      </c>
      <c r="G24" s="9">
        <f t="shared" si="1"/>
        <v>0.09</v>
      </c>
    </row>
    <row r="25" spans="1:7" ht="12.75">
      <c r="A25" s="47" t="str">
        <f>+'Ind - Gross'!A25</f>
        <v>75 - 79</v>
      </c>
      <c r="B25" s="180" t="s">
        <v>122</v>
      </c>
      <c r="C25" s="7">
        <f>+'Company Data'!E32</f>
        <v>1000</v>
      </c>
      <c r="D25" s="61">
        <f>+'Ind - Gross'!I25</f>
        <v>0.05</v>
      </c>
      <c r="E25" s="7">
        <f t="shared" si="2"/>
        <v>0.05</v>
      </c>
      <c r="F25" s="8">
        <f t="shared" si="0"/>
        <v>1</v>
      </c>
      <c r="G25" s="9">
        <f t="shared" si="1"/>
        <v>0.05</v>
      </c>
    </row>
    <row r="26" spans="1:7" ht="12.75">
      <c r="A26" s="47" t="str">
        <f>+'Ind - Gross'!A26</f>
        <v>80 - 84</v>
      </c>
      <c r="B26" s="180" t="s">
        <v>122</v>
      </c>
      <c r="C26" s="7">
        <f>+'Company Data'!E33</f>
        <v>1000</v>
      </c>
      <c r="D26" s="61">
        <f>+'Ind - Gross'!I26</f>
        <v>0.05</v>
      </c>
      <c r="E26" s="7">
        <f>+C26*D26/1000</f>
        <v>0.05</v>
      </c>
      <c r="F26" s="8">
        <f t="shared" si="0"/>
        <v>1</v>
      </c>
      <c r="G26" s="9">
        <f t="shared" si="1"/>
        <v>0.05</v>
      </c>
    </row>
    <row r="27" spans="1:7" ht="12.75">
      <c r="A27" s="74" t="str">
        <f>+'Ind - Gross'!A27</f>
        <v>85+</v>
      </c>
      <c r="B27" s="181" t="s">
        <v>122</v>
      </c>
      <c r="C27" s="52">
        <f>+'Company Data'!E34</f>
        <v>1000</v>
      </c>
      <c r="D27" s="75">
        <f>+'Ind - Gross'!I27</f>
        <v>0.05</v>
      </c>
      <c r="E27" s="52">
        <f t="shared" si="2"/>
        <v>0.05</v>
      </c>
      <c r="F27" s="84">
        <f t="shared" si="0"/>
        <v>1</v>
      </c>
      <c r="G27" s="54">
        <f t="shared" si="1"/>
        <v>0.05</v>
      </c>
    </row>
    <row r="28" ht="6" customHeight="1"/>
    <row r="29" spans="1:7" ht="12.75">
      <c r="A29" s="12" t="s">
        <v>3</v>
      </c>
      <c r="B29" s="158"/>
      <c r="C29" s="7">
        <f>SUM(C10:C28)</f>
        <v>18000</v>
      </c>
      <c r="E29" s="9">
        <f>SUM(E10:E28)</f>
        <v>5.97</v>
      </c>
      <c r="G29" s="9">
        <f>SUM(G10:G28)</f>
        <v>5.97</v>
      </c>
    </row>
    <row r="30" spans="1:7" ht="12.75">
      <c r="A30" s="12"/>
      <c r="B30" s="60"/>
      <c r="C30" s="41"/>
      <c r="E30" s="9"/>
      <c r="G30" s="9"/>
    </row>
    <row r="32" ht="12.75">
      <c r="B32" s="130" t="s">
        <v>29</v>
      </c>
    </row>
    <row r="33" spans="1:2" ht="12.75">
      <c r="A33" s="56">
        <v>-1</v>
      </c>
      <c r="B33" s="3" t="s">
        <v>160</v>
      </c>
    </row>
    <row r="34" spans="1:8" ht="12.75">
      <c r="A34" s="56">
        <v>-2</v>
      </c>
      <c r="B34" s="3" t="s">
        <v>114</v>
      </c>
      <c r="H34" s="14"/>
    </row>
    <row r="35" spans="1:2" ht="12.75">
      <c r="A35" s="56">
        <v>-3</v>
      </c>
      <c r="B35" s="3" t="str">
        <f>'Ind - Gross'!M1&amp;", Column 8"</f>
        <v> Exhibit 3, Page 3, Column 8</v>
      </c>
    </row>
    <row r="36" spans="1:2" ht="12.75">
      <c r="A36" s="56">
        <v>-4</v>
      </c>
      <c r="B36" s="3" t="s">
        <v>91</v>
      </c>
    </row>
    <row r="37" spans="1:2" ht="12.75">
      <c r="A37" s="56">
        <v>-5</v>
      </c>
      <c r="B37" s="3" t="str">
        <f>" "&amp;'Scenario Inputs'!L1&amp;", Entry 4"</f>
        <v> Exhibit 1, Page 1, Entry 4</v>
      </c>
    </row>
    <row r="38" spans="1:2" ht="12.75">
      <c r="A38" s="56">
        <v>-6</v>
      </c>
      <c r="B38" s="3" t="s">
        <v>36</v>
      </c>
    </row>
    <row r="46" ht="12.75">
      <c r="A46" s="37"/>
    </row>
    <row r="47" ht="12.75">
      <c r="A47" s="37"/>
    </row>
  </sheetData>
  <printOptions horizontalCentered="1"/>
  <pageMargins left="0.5" right="0.5" top="0.75" bottom="0.75" header="0.5" footer="0.35"/>
  <pageSetup horizontalDpi="600" verticalDpi="600" orientation="landscape" scale="94" r:id="rId1"/>
  <headerFooter alignWithMargins="0">
    <oddFooter>&amp;L&amp;8&amp;F  &amp;A&amp;C&amp;8MBA Actuaries, Inc.&amp;R&amp;8&amp;D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Odell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Jim.Toole@MBAActuaries.com</dc:creator>
  <cp:keywords/>
  <dc:description/>
  <cp:lastModifiedBy>SOA USER</cp:lastModifiedBy>
  <cp:lastPrinted>2007-05-22T19:17:02Z</cp:lastPrinted>
  <dcterms:created xsi:type="dcterms:W3CDTF">2003-01-12T21:03:41Z</dcterms:created>
  <dcterms:modified xsi:type="dcterms:W3CDTF">2007-06-11T15:11:52Z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