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9660" windowHeight="11640" tabRatio="899" firstSheet="16" activeTab="20"/>
  </bookViews>
  <sheets>
    <sheet name="Appendix A p.1" sheetId="1" r:id="rId1"/>
    <sheet name="Appendix A p.2" sheetId="2" r:id="rId2"/>
    <sheet name="Appendix A p.3" sheetId="3" r:id="rId3"/>
    <sheet name="Appendix A p.4" sheetId="4" r:id="rId4"/>
    <sheet name="Appendix A1 p.1" sheetId="5" r:id="rId5"/>
    <sheet name="Appendix A1 p.2" sheetId="6" r:id="rId6"/>
    <sheet name="Appendix A1 p.3" sheetId="7" r:id="rId7"/>
    <sheet name="Appendix A1 p.4" sheetId="8" r:id="rId8"/>
    <sheet name="Appendix A1 p.5" sheetId="9" r:id="rId9"/>
    <sheet name="Appendix A1 p.6" sheetId="10" r:id="rId10"/>
    <sheet name="Appendix A1 p.7" sheetId="11" r:id="rId11"/>
    <sheet name="Appendix A1 p.8" sheetId="12" r:id="rId12"/>
    <sheet name="Appendix B" sheetId="13" r:id="rId13"/>
    <sheet name="Appendix C p.1" sheetId="14" r:id="rId14"/>
    <sheet name="Appendix C p.2" sheetId="15" r:id="rId15"/>
    <sheet name="Appendix D p.1" sheetId="16" r:id="rId16"/>
    <sheet name="Appendix D p.2" sheetId="17" r:id="rId17"/>
    <sheet name="Appendix D p.3" sheetId="18" r:id="rId18"/>
    <sheet name="Appendix E p.1" sheetId="19" r:id="rId19"/>
    <sheet name="Appendix E p.2" sheetId="20" r:id="rId20"/>
    <sheet name="Appendix F p.1" sheetId="21" r:id="rId21"/>
    <sheet name="Appendix F p.2" sheetId="22" r:id="rId22"/>
    <sheet name="Appendix F p.3" sheetId="23" r:id="rId23"/>
    <sheet name="Appendix F p.4" sheetId="24" r:id="rId24"/>
    <sheet name="Appendix G p.1" sheetId="25" r:id="rId25"/>
    <sheet name="Appendix G p.2" sheetId="26" r:id="rId26"/>
    <sheet name="Appendix G p.3" sheetId="27" r:id="rId27"/>
    <sheet name="Appendix G p.4" sheetId="28" r:id="rId28"/>
    <sheet name="DATA_Age&amp;RiskClass" sheetId="29" state="hidden" r:id="rId29"/>
    <sheet name="Appendix H" sheetId="30" r:id="rId30"/>
  </sheets>
  <externalReferences>
    <externalReference r:id="rId33"/>
    <externalReference r:id="rId34"/>
    <externalReference r:id="rId35"/>
  </externalReferences>
  <definedNames>
    <definedName name="All_2003_Female">'[1]2003-2005 DATA'!$C$27:$I$29</definedName>
    <definedName name="All_2003_Male">'[1]2003-2005 DATA'!$C$24:$I$26</definedName>
    <definedName name="All_2003_Ult">'[2]2003-2005 DATA'!$B$12:$H$13</definedName>
    <definedName name="All_2004_Female">'[1]2003-2005 DATA'!$C$33:$I$35</definedName>
    <definedName name="All_2004_Male">'[1]2003-2005 DATA'!$C$30:$I$32</definedName>
    <definedName name="All_2004_Ult">'[2]2003-2005 DATA'!$B$14:$H$15</definedName>
    <definedName name="All_2005_Female">'[1]2003-2005 DATA'!$C$42:$I$44</definedName>
    <definedName name="All_2005_Male">'[1]2003-2005 DATA'!$C$39:$I$41</definedName>
    <definedName name="All_2005_Ult">'[2]2003-2005 DATA'!$B$19:$H$20</definedName>
    <definedName name="Common_2003_Female">'[1]2003-2005 DATA'!$C$6:$I$8</definedName>
    <definedName name="Common_2003_Male">'[1]2003-2005 DATA'!$C$3:$I$5</definedName>
    <definedName name="Common_2003_Ult">'[2]2003-2005 DATA'!$B$3:$H$4</definedName>
    <definedName name="Common_2004_Female">'[1]2003-2005 DATA'!$C$12:$I$14</definedName>
    <definedName name="Common_2004_Male">'[1]2003-2005 DATA'!$C$9:$I$11</definedName>
    <definedName name="Common_2004_Ult">'[2]2003-2005 DATA'!$B$5:$H$6</definedName>
    <definedName name="Common_2005_Female">'[1]2003-2005 DATA'!$C$18:$I$20</definedName>
    <definedName name="Common_2005_Male">'[1]2003-2005 DATA'!$C$15:$I$17</definedName>
    <definedName name="Common_2005_Ult">'[2]2003-2005 DATA'!$B$7:$H$8</definedName>
    <definedName name="Detail_NSBestDuration">'[3]Data_Detail'!$B$2:$F$7</definedName>
    <definedName name="Detail_NSBestDurationFace1">'[3]Data_Detail'!$C$36:$G$41</definedName>
    <definedName name="Detail_NSBestDurationFace2">'[3]Data_Detail'!$C$54:$G$59</definedName>
    <definedName name="Detail_NSBestDurationFace3">'[3]Data_Detail'!$C$72:$G$77</definedName>
    <definedName name="Detail_NSBestDurationFace4">'[3]Data_Detail'!$C$90:$G$95</definedName>
    <definedName name="Detail_NSDurRiskClass2Rank1">'[3]Data_Detail'!$C$160:$G$165</definedName>
    <definedName name="Detail_NSDurRiskClass2Rank2">'[3]Data_Detail'!$C$166:$G$171</definedName>
    <definedName name="Detail_NSDurRiskClass3Rank1">'[3]Data_Detail'!$C$172:$G$177</definedName>
    <definedName name="Detail_NSDurRiskClass3Rank2">'[3]Data_Detail'!$C$178:$G$183</definedName>
    <definedName name="Detail_NSDurRiskClass3Rank3">'[3]Data_Detail'!$C$184:$G$189</definedName>
    <definedName name="Detail_NSDurRiskClass4Rank1">'[3]Data_Detail'!$C$190:$G$194</definedName>
    <definedName name="Detail_NSDurRiskClass4Rank2">'[3]Data_Detail'!$C$195:$G$199</definedName>
    <definedName name="Detail_NSDurRiskClass4Rank3">'[3]Data_Detail'!$C$200:$G$204</definedName>
    <definedName name="Detail_NSDurRiskClass4Rank4">'[3]Data_Detail'!$C$205:$G$209</definedName>
    <definedName name="Detail_NSMiddleDuration">'[3]Data_Detail'!$B$8:$F$13</definedName>
    <definedName name="Detail_NSMiddleDurationFace1">'[3]Data_Detail'!$C$42:$G$47</definedName>
    <definedName name="Detail_NSMiddleDurationFace2">'[3]Data_Detail'!$C$60:$G$65</definedName>
    <definedName name="Detail_NSMiddleDurationFace3">'[3]Data_Detail'!$C$78:$G$83</definedName>
    <definedName name="Detail_NSMiddleDurationFace4">'[3]Data_Detail'!$C$96:$G$101</definedName>
    <definedName name="Detail_NSResidualDuration">'[3]Data_Detail'!$B$14:$F$19</definedName>
    <definedName name="Detail_NSResidualDurationFace1">'[3]Data_Detail'!$C$48:$G$53</definedName>
    <definedName name="Detail_NSResidualDurationFace2">'[3]Data_Detail'!$C$66:$G$71</definedName>
    <definedName name="Detail_NSResidualDurationFace3">'[3]Data_Detail'!$C$84:$G$89</definedName>
    <definedName name="Detail_NSResidualDurationFace4">'[3]Data_Detail'!$C$102:$G$107</definedName>
    <definedName name="Detail_SmkrBestDuration">'[3]Data_Detail'!$B$22:$F$27</definedName>
    <definedName name="Detail_SmkrBestDurationFace1">'[3]Data_Detail'!$C$110:$G$115</definedName>
    <definedName name="Detail_SmkrBestDurationFace2">'[3]Data_Detail'!$C$122:$G$127</definedName>
    <definedName name="Detail_SmkrBestDurationFace3">'[3]Data_Detail'!$C$134:$G$139</definedName>
    <definedName name="Detail_SmkrBestDurationFace4">'[3]Data_Detail'!$C$146:$G$151</definedName>
    <definedName name="Detail_SmkrResidualDuration">'[3]Data_Detail'!$B$28:$F$33</definedName>
    <definedName name="Detail_SmkrResidualDurationFace1">'[3]Data_Detail'!$C$116:$G$121</definedName>
    <definedName name="Detail_SmkrResidualDurationFace2">'[3]Data_Detail'!$C$128:$G$133</definedName>
    <definedName name="Detail_SmkrResidualDurationFace3">'[3]Data_Detail'!$C$140:$G$145</definedName>
    <definedName name="Detail_SmkrResidualDurationFace4">'[3]Data_Detail'!$C$152:$G$157</definedName>
    <definedName name="GenderSmkr_DurNSF">'[3]Data_GenderSmkr'!$C$78:$I$85</definedName>
    <definedName name="GenderSmkr_DurNSM">'[3]Data_GenderSmkr'!$C$62:$I$69</definedName>
    <definedName name="GenderSmkr_DurSmkrF">'[3]Data_GenderSmkr'!$C$86:$I$93</definedName>
    <definedName name="GenderSmkr_DurSmkrM">'[3]Data_GenderSmkr'!$C$70:$I$77</definedName>
    <definedName name="GenderSmkr_FaceNSF">'[3]Data_GenderSmkr'!$C$116:$I$125</definedName>
    <definedName name="GenderSmkr_FaceNSM">'[3]Data_GenderSmkr'!$C$96:$I$105</definedName>
    <definedName name="GenderSmkr_FaceSmkrF">'[3]Data_GenderSmkr'!$C$126:$I$135</definedName>
    <definedName name="GenderSmkr_FaceSmkrM">'[3]Data_GenderSmkr'!$C$106:$I$115</definedName>
    <definedName name="GenderSmkr_IssueNSF">'[3]Data_GenderSmkr'!$C$34:$I$46</definedName>
    <definedName name="GenderSmkr_IssueNSM">'[3]Data_GenderSmkr'!$C$8:$I$20</definedName>
    <definedName name="GenderSmkr_IssueSmkrF">'[3]Data_GenderSmkr'!$C$47:$I$59</definedName>
    <definedName name="GenderSmkr_IssueSmkrM">'[3]Data_GenderSmkr'!$C$21:$I$33</definedName>
    <definedName name="GenderSmkr_RiskClassNSF">'[3]Data_GenderSmkr'!$C$143:$I$145</definedName>
    <definedName name="GenderSmkr_RiskClassNSM">'[3]Data_GenderSmkr'!$C$138:$I$140</definedName>
    <definedName name="GenderSmkr_RiskClassSmkrF">'[3]Data_GenderSmkr'!$C$146:$I$147</definedName>
    <definedName name="GenderSmkr_RiskClassSmkrM">'[3]Data_GenderSmkr'!$C$141:$I$142</definedName>
    <definedName name="_xlnm.Print_Area" localSheetId="1">'Appendix A p.2'!$A$1:$Q$45</definedName>
    <definedName name="_xlnm.Print_Area" localSheetId="2">'Appendix A p.3'!$A$1:$Q$39</definedName>
    <definedName name="_xlnm.Print_Area" localSheetId="3">'Appendix A p.4'!$A$1:$Q$41</definedName>
    <definedName name="_xlnm.Print_Area" localSheetId="12">'Appendix B'!$A$1:$M$50</definedName>
    <definedName name="_xlnm.Print_Area" localSheetId="13">'Appendix C p.1'!$A$1:$N$58</definedName>
    <definedName name="_xlnm.Print_Area" localSheetId="14">'Appendix C p.2'!$A$1:$N$58</definedName>
    <definedName name="_xlnm.Print_Area" localSheetId="15">'Appendix D p.1'!$A$1:$K$35</definedName>
    <definedName name="_xlnm.Print_Area" localSheetId="16">'Appendix D p.2'!$A$1:$K$49</definedName>
    <definedName name="_xlnm.Print_Area" localSheetId="17">'Appendix D p.3'!$A$1:$U$66</definedName>
    <definedName name="_xlnm.Print_Area" localSheetId="18">'Appendix E p.1'!$A$1:$AC$57</definedName>
    <definedName name="_xlnm.Print_Area" localSheetId="19">'Appendix E p.2'!$A$1:$AC$26</definedName>
    <definedName name="_xlnm.Print_Area" localSheetId="20">'Appendix F p.1'!$A$1:$AC$69</definedName>
    <definedName name="_xlnm.Print_Area" localSheetId="21">'Appendix F p.2'!$A$1:$AC$69</definedName>
    <definedName name="_xlnm.Print_Area" localSheetId="22">'Appendix F p.3'!$A$1:$AC$69</definedName>
    <definedName name="_xlnm.Print_Area" localSheetId="23">'Appendix F p.4'!$A$1:$AC$69</definedName>
    <definedName name="_xlnm.Print_Area" localSheetId="24">'Appendix G p.1'!$A$1:$X$48</definedName>
    <definedName name="_xlnm.Print_Area" localSheetId="25">'Appendix G p.2'!$A$1:$X$47</definedName>
    <definedName name="_xlnm.Print_Area" localSheetId="26">'Appendix G p.3'!$A$1:$X$48</definedName>
    <definedName name="_xlnm.Print_Area" localSheetId="27">'Appendix G p.4'!$A$1:$X$47</definedName>
    <definedName name="_xlnm.Print_Area" localSheetId="29">'Appendix H'!$A$1:$S$71</definedName>
    <definedName name="Sel_Duration">'[3]Data_SelectOnly'!$A$24:$G$31</definedName>
    <definedName name="Sel_Face_Amount">'[3]Data_SelectOnly'!$A$34:$G$43</definedName>
    <definedName name="Sel_Gender">'[3]Data_SelectOnly'!$A$20:$G$21</definedName>
    <definedName name="Sel_Issue_Age">'[3]Data_SelectOnly'!$A$5:$G$17</definedName>
    <definedName name="Sel_Smoker">'[3]Data_SelectOnly'!$A$46:$G$48</definedName>
    <definedName name="Ult_Female_Face_Amount">'[3]Data_ULTIMATE'!$A$9:$G$13</definedName>
    <definedName name="Ult_Gender">'[3]Data_ULTIMATE'!$A$5:$G$6</definedName>
    <definedName name="Ult_Male_Face_Amount">'[3]Data_ULTIMATE'!$A$16:$G$20</definedName>
  </definedNames>
  <calcPr fullCalcOnLoad="1"/>
</workbook>
</file>

<file path=xl/comments1.xml><?xml version="1.0" encoding="utf-8"?>
<comments xmlns="http://schemas.openxmlformats.org/spreadsheetml/2006/main">
  <authors>
    <author>jarboleda</author>
  </authors>
  <commentList>
    <comment ref="K51" authorId="0">
      <text>
        <r>
          <rPr>
            <b/>
            <sz val="8"/>
            <rFont val="Tahoma"/>
            <family val="2"/>
          </rPr>
          <t>jarboleda:</t>
        </r>
        <r>
          <rPr>
            <sz val="8"/>
            <rFont val="Tahoma"/>
            <family val="2"/>
          </rPr>
          <t xml:space="preserve">
rounded to whole numbers</t>
        </r>
      </text>
    </comment>
  </commentList>
</comments>
</file>

<file path=xl/sharedStrings.xml><?xml version="1.0" encoding="utf-8"?>
<sst xmlns="http://schemas.openxmlformats.org/spreadsheetml/2006/main" count="3215" uniqueCount="274">
  <si>
    <t>SOA Industry Life Experience, 2004-2005</t>
  </si>
  <si>
    <t xml:space="preserve">Expected Basis: 2001 VBT </t>
  </si>
  <si>
    <t>Actual Deaths by Policy</t>
  </si>
  <si>
    <t>Expected Deaths by Policy</t>
  </si>
  <si>
    <t>Actual Deaths by Amount</t>
  </si>
  <si>
    <t>Expected Deaths by Amount</t>
  </si>
  <si>
    <t>Exposure     by Policy</t>
  </si>
  <si>
    <t>% Exposure 
by Policy</t>
  </si>
  <si>
    <t>% Exposure 
by Amount</t>
  </si>
  <si>
    <t>% Expected by Amount</t>
  </si>
  <si>
    <t>Overall</t>
  </si>
  <si>
    <t>Issue Age</t>
  </si>
  <si>
    <t>0</t>
  </si>
  <si>
    <t>1-4</t>
  </si>
  <si>
    <t>5-9</t>
  </si>
  <si>
    <t>10-17</t>
  </si>
  <si>
    <t>18-24</t>
  </si>
  <si>
    <t>25-29</t>
  </si>
  <si>
    <t>30-34</t>
  </si>
  <si>
    <t>35-39</t>
  </si>
  <si>
    <t>40-49</t>
  </si>
  <si>
    <t>50-59</t>
  </si>
  <si>
    <t>60-69</t>
  </si>
  <si>
    <t>70-79</t>
  </si>
  <si>
    <t>80+</t>
  </si>
  <si>
    <t>Gender</t>
  </si>
  <si>
    <t>Female</t>
  </si>
  <si>
    <t>Male</t>
  </si>
  <si>
    <t>Duration</t>
  </si>
  <si>
    <t>1</t>
  </si>
  <si>
    <t>2</t>
  </si>
  <si>
    <t>3</t>
  </si>
  <si>
    <t>4-5</t>
  </si>
  <si>
    <t>6-10</t>
  </si>
  <si>
    <t>11-15</t>
  </si>
  <si>
    <t>16-20</t>
  </si>
  <si>
    <t>21-25</t>
  </si>
  <si>
    <t>Size</t>
  </si>
  <si>
    <t>1-9,999</t>
  </si>
  <si>
    <t>10,000-24,999</t>
  </si>
  <si>
    <t>25,000-49,999</t>
  </si>
  <si>
    <t>50,000-99,999</t>
  </si>
  <si>
    <t>100,000-249,999</t>
  </si>
  <si>
    <t>250,000-499,999</t>
  </si>
  <si>
    <t>500,000-999,999</t>
  </si>
  <si>
    <t>1,000,000-2,499,999</t>
  </si>
  <si>
    <t>2,500,000-4,999,999</t>
  </si>
  <si>
    <t>5,000,000+</t>
  </si>
  <si>
    <t>Smkr Status</t>
  </si>
  <si>
    <t>Non-Smoker</t>
  </si>
  <si>
    <t>Smoker</t>
  </si>
  <si>
    <t>Exposure   by Amount</t>
  </si>
  <si>
    <t>MALE Only Ultimate Period Data</t>
  </si>
  <si>
    <t>Attained Age</t>
  </si>
  <si>
    <t>80-89</t>
  </si>
  <si>
    <t>90+</t>
  </si>
  <si>
    <t>100,000+</t>
  </si>
  <si>
    <t>FEMALE Only Ultimate Period Data</t>
  </si>
  <si>
    <t>Issue Ages 25+, Duration &lt;=15, Face Amt 100K up to 2.5M, Risk Ind = 1</t>
  </si>
  <si>
    <t>Face Amount</t>
  </si>
  <si>
    <t>1 - Best Rank</t>
  </si>
  <si>
    <t>2 - Middle Rank</t>
  </si>
  <si>
    <t>3 - Residual Standard</t>
  </si>
  <si>
    <t>4</t>
  </si>
  <si>
    <t>5</t>
  </si>
  <si>
    <t>6</t>
  </si>
  <si>
    <t>Ranking RCR Bands</t>
  </si>
  <si>
    <t>Male Smoker</t>
  </si>
  <si>
    <t>Female Smoker</t>
  </si>
  <si>
    <t>A/E Ratio by Policy</t>
  </si>
  <si>
    <t>A/E Ratio by Amount</t>
  </si>
  <si>
    <t>N/A</t>
  </si>
  <si>
    <t>25-49</t>
  </si>
  <si>
    <t>60+</t>
  </si>
  <si>
    <t>Smoker_Status</t>
  </si>
  <si>
    <t>Risk_Classes_By_Smoker_Status</t>
  </si>
  <si>
    <t>Class_Rank_By_Smoker_Status</t>
  </si>
  <si>
    <t>Rolled Age Band</t>
  </si>
  <si>
    <t>SumOfActual_Deaths</t>
  </si>
  <si>
    <t>SumOfAmount_Exposed</t>
  </si>
  <si>
    <t>SOA Industry Life Experience, 2005-2007</t>
  </si>
  <si>
    <t>Policy Year Ending</t>
  </si>
  <si>
    <t>Male Unknown</t>
  </si>
  <si>
    <t>Female Unknown</t>
  </si>
  <si>
    <t>Total</t>
  </si>
  <si>
    <t>APPENDIX B</t>
  </si>
  <si>
    <t>APPENDIX A</t>
  </si>
  <si>
    <t>ULTIMATE PERIOD ONLY (Durations greater than 25 years)</t>
  </si>
  <si>
    <t>SELECT PERIOD ONLY (Durations less than or equal to 25 years)</t>
  </si>
  <si>
    <t>03-04</t>
  </si>
  <si>
    <t>04-05</t>
  </si>
  <si>
    <t>05-06</t>
  </si>
  <si>
    <t>06-07</t>
  </si>
  <si>
    <t>03-07</t>
  </si>
  <si>
    <t>SOA Industry Life Experience, 2003-2007</t>
  </si>
  <si>
    <t>25-39</t>
  </si>
  <si>
    <t>70+</t>
  </si>
  <si>
    <t>APPENDIX E</t>
  </si>
  <si>
    <t>APPENDIX F</t>
  </si>
  <si>
    <t>SELECT PERIOD ONLY (Dur &lt;= 25)</t>
  </si>
  <si>
    <t>SELECT PERIOD ONLY (Duration &lt;= 25 years)</t>
  </si>
  <si>
    <t>ULTIMATE PERIOD ONLY (Dur 26+)</t>
  </si>
  <si>
    <t xml:space="preserve">Expected Basis: 2008 VBT </t>
  </si>
  <si>
    <t>A/E Ratios for All Companies (Face Amounts &gt;= $100,000)</t>
  </si>
  <si>
    <t>40-44</t>
  </si>
  <si>
    <t>45-49</t>
  </si>
  <si>
    <t>50-54</t>
  </si>
  <si>
    <t>55-59</t>
  </si>
  <si>
    <t>60-64</t>
  </si>
  <si>
    <t>65-69</t>
  </si>
  <si>
    <t>70-74</t>
  </si>
  <si>
    <t>75-79</t>
  </si>
  <si>
    <t>80-84</t>
  </si>
  <si>
    <t>85-89</t>
  </si>
  <si>
    <t>90-95</t>
  </si>
  <si>
    <t xml:space="preserve"> 1</t>
  </si>
  <si>
    <t xml:space="preserve"> 2</t>
  </si>
  <si>
    <t xml:space="preserve"> 3</t>
  </si>
  <si>
    <t xml:space="preserve"> 4-5</t>
  </si>
  <si>
    <t xml:space="preserve"> 6-10</t>
  </si>
  <si>
    <t>Sum of SumOfActual_Death_Amount</t>
  </si>
  <si>
    <t>Issue_Age</t>
  </si>
  <si>
    <t>Grand Total</t>
  </si>
  <si>
    <t>Sum of SumOfExpected_Death_By_Amount_QX2008VBTPR</t>
  </si>
  <si>
    <t>Sum of SumOfActual_Deaths</t>
  </si>
  <si>
    <t>Sum of SumOfExpected_Death_By_Policy_QX2008VBTPR</t>
  </si>
  <si>
    <t>APPENDIX G</t>
  </si>
  <si>
    <t>A/E Ratios for All Companies &amp; Common 21 Companies</t>
  </si>
  <si>
    <t># Deaths</t>
  </si>
  <si>
    <t>Death Amts</t>
  </si>
  <si>
    <t>Female Nonsmoker</t>
  </si>
  <si>
    <t>A/E Ratios for All Companies (Face Amounts &gt;= $50,000)</t>
  </si>
  <si>
    <t>Male Nonsmoker</t>
  </si>
  <si>
    <t>Includes all face amounts</t>
  </si>
  <si>
    <t>Nonsmoker</t>
  </si>
  <si>
    <t>Female Nonsmokers (Face Amounts $100,000 - $2,499,999)</t>
  </si>
  <si>
    <t>A/E Ratios for Female Nonsmokers (Face Amounts &lt;$100,000)</t>
  </si>
  <si>
    <t>A/E Ratios for Male Nonsmokers (Face Amounts &lt;$100,000)</t>
  </si>
  <si>
    <t>Male Nonsmokers (Face Amounts $100,000 - $2,499,999)</t>
  </si>
  <si>
    <t>A/E Ratios for Male Smokers (Face Amounts &lt;$100,000)</t>
  </si>
  <si>
    <t>Male Smokers (Face Amounts $100,000 - $2,499,999)</t>
  </si>
  <si>
    <t>Female Smokers (Face Amounts &lt;$100,000)</t>
  </si>
  <si>
    <t>Female Smokers (Face Amounts $100,000 - $2,499,999)</t>
  </si>
  <si>
    <t>Ratios</t>
  </si>
  <si>
    <r>
      <t>Annual Change</t>
    </r>
    <r>
      <rPr>
        <b/>
        <vertAlign val="superscript"/>
        <sz val="10"/>
        <rFont val="Arial"/>
        <family val="2"/>
      </rPr>
      <t>1</t>
    </r>
  </si>
  <si>
    <t>Footnote:                                                                                                                                                             1. Annual Change formula: {[(07 rate)/(03 rate)]^0.25} - 1</t>
  </si>
  <si>
    <t>Footnote:                                                                                                                                                                                                 1. Annual Change formula: {[(07 rate)/(03 rate)]^0.25} - 1</t>
  </si>
  <si>
    <t>Footnote:                                                                                                                                                                                                    1. Annual Change formula: {[(07 rate)/(03 rate)]^0.25} - 1</t>
  </si>
  <si>
    <t>Footnote:                                                                                                                                                                                               1. Annual Change formula: {[(07 rate)/(03 rate)]^0.25} - 1</t>
  </si>
  <si>
    <t>Footnote:                                                                                                                                                                                                                1. Annual Change formula: {[(07 rate)/(03 rate)]^0.25} - 1</t>
  </si>
  <si>
    <t>Select Period Only (Dur &lt;= 25)</t>
  </si>
  <si>
    <t>Face Amounts&gt;=$100,000</t>
  </si>
  <si>
    <t>Face Amounts&lt;$100,000</t>
  </si>
  <si>
    <t>All Plans Combined or Unable to Subdivide</t>
  </si>
  <si>
    <t>Term Insurance</t>
  </si>
  <si>
    <t>Traditional Whole Life</t>
  </si>
  <si>
    <t>Universal Life</t>
  </si>
  <si>
    <t xml:space="preserve">Variable Life </t>
  </si>
  <si>
    <t>Variable Universal Life</t>
  </si>
  <si>
    <t xml:space="preserve">   1-9,999</t>
  </si>
  <si>
    <t xml:space="preserve">  10,000-24,999</t>
  </si>
  <si>
    <t xml:space="preserve">  25,000-49,999</t>
  </si>
  <si>
    <t xml:space="preserve">  50,000-99,999</t>
  </si>
  <si>
    <t xml:space="preserve"> 100,000-249,999</t>
  </si>
  <si>
    <t xml:space="preserve"> 250,000-499,999</t>
  </si>
  <si>
    <t xml:space="preserve"> 500,000-999,999</t>
  </si>
  <si>
    <t>Insurance Plan Type</t>
  </si>
  <si>
    <t>APPENDIX H</t>
  </si>
  <si>
    <t>A/E Ratios for All Companies  by Plan Type</t>
  </si>
  <si>
    <t>APPENDIX C</t>
  </si>
  <si>
    <t>Preferred Class Structure Business Only - All Companies</t>
  </si>
  <si>
    <t>Issue Ages 25+, Duration &lt;= 15, Face Amt 100K - 2.5M</t>
  </si>
  <si>
    <t>All Companies, Dollar amounts in millions</t>
  </si>
  <si>
    <t>1M-2.5M</t>
  </si>
  <si>
    <t>PCS Nonsmoker</t>
  </si>
  <si>
    <t>PCS Smoker</t>
  </si>
  <si>
    <t>1- Best Rank</t>
  </si>
  <si>
    <t>PCS Nonsmoker - 2 Risk Classes</t>
  </si>
  <si>
    <t>PCS Nonsmoker - 3 Risk Classes</t>
  </si>
  <si>
    <t>PCS Nonsmoker - 4 Risk Classes</t>
  </si>
  <si>
    <t>Preferred Class Structure Business Only - Common Companies</t>
  </si>
  <si>
    <t>Common Companies, Dollar amounts in millions</t>
  </si>
  <si>
    <t>APPENDIX D</t>
  </si>
  <si>
    <t>Preferred Class Structure Business Only</t>
  </si>
  <si>
    <t>Dollar amounts in millions</t>
  </si>
  <si>
    <t>Nonsmokers - All Companies</t>
  </si>
  <si>
    <t>Ranking PCS Bands</t>
  </si>
  <si>
    <t>#Deaths 2007</t>
  </si>
  <si>
    <t>05-07</t>
  </si>
  <si>
    <t>3 -Residual Standard</t>
  </si>
  <si>
    <t>Smokers - All Companies</t>
  </si>
  <si>
    <t>Nonsmokers - Common Companies</t>
  </si>
  <si>
    <t>Smokers - Common Companies</t>
  </si>
  <si>
    <t>All Companies - Nonsmoker - 2 Risk Classes</t>
  </si>
  <si>
    <t>Class Rank</t>
  </si>
  <si>
    <t>All Companies - Nonsmoker - 3 Risk Classes</t>
  </si>
  <si>
    <t>All Companies - Nonsmoker - 4 Risk Classes</t>
  </si>
  <si>
    <t>Common Companies - Nonsmoker - 2 Risk Classes</t>
  </si>
  <si>
    <t>Common Companies - Nonsmoker - 3 Risk Classes</t>
  </si>
  <si>
    <t>Common Companies - Nonsmoker - 4 Risk Classes</t>
  </si>
  <si>
    <t>All Companies - Nonsmokers</t>
  </si>
  <si>
    <t>Common Companies - Nonsmokers</t>
  </si>
  <si>
    <t>Durations</t>
  </si>
  <si>
    <t>Face Amount Bands</t>
  </si>
  <si>
    <t>Number of Deaths</t>
  </si>
  <si>
    <t>All Companies - Smokers</t>
  </si>
  <si>
    <t>Common Companies - Smokers</t>
  </si>
  <si>
    <t>Observation Year</t>
  </si>
  <si>
    <t>Male Smoker &gt;= 100,000</t>
  </si>
  <si>
    <t>Lowest - 1 Quintile</t>
  </si>
  <si>
    <t>2 Quintile</t>
  </si>
  <si>
    <t xml:space="preserve">3 Quintile </t>
  </si>
  <si>
    <t>4 Quintile</t>
  </si>
  <si>
    <t xml:space="preserve">Highest - 5 Quintile </t>
  </si>
  <si>
    <t>All Companies</t>
  </si>
  <si>
    <t xml:space="preserve">Actual Deaths </t>
  </si>
  <si>
    <t>A/E Ratio</t>
  </si>
  <si>
    <t>by Amount</t>
  </si>
  <si>
    <t xml:space="preserve">Face </t>
  </si>
  <si>
    <t>Amount</t>
  </si>
  <si>
    <t>2006</t>
  </si>
  <si>
    <t>2007</t>
  </si>
  <si>
    <t>APPENDIX A1</t>
  </si>
  <si>
    <t>Face Amounts &lt;100k</t>
  </si>
  <si>
    <t>Observation</t>
  </si>
  <si>
    <t>Year</t>
  </si>
  <si>
    <t>Male Nonsmoker &lt; 100,000</t>
  </si>
  <si>
    <t>Male Nonsmoker &gt;= 100,000</t>
  </si>
  <si>
    <t>Female Nonsmoker &lt; 100,000</t>
  </si>
  <si>
    <t>Female Nonsmoker &gt;= 100,000</t>
  </si>
  <si>
    <t>Male Smoker &lt; 100,000</t>
  </si>
  <si>
    <t>Female Smoker &lt; 100,000</t>
  </si>
  <si>
    <t>Female Smoker &gt;= 100,000</t>
  </si>
  <si>
    <t>SELECT PERIOD ONLY (Dur &lt;=25)</t>
  </si>
  <si>
    <t>Face Amounts &gt;=100k</t>
  </si>
  <si>
    <t>EXPECTED</t>
  </si>
  <si>
    <t>ACTUAL</t>
  </si>
  <si>
    <t>2-2</t>
  </si>
  <si>
    <t>3-3</t>
  </si>
  <si>
    <t>4-4</t>
  </si>
  <si>
    <t>5-5</t>
  </si>
  <si>
    <t>6-6</t>
  </si>
  <si>
    <t xml:space="preserve">Companies assigned to quintiles for this exhibit based on overall A/E ratio for Male Nonsmoker&lt;100,000.  Additional reporting categories (e.g by issue age, duration) are then based on this same group of companies.  </t>
  </si>
  <si>
    <t xml:space="preserve">Companies assigned to quintiles for this exhibit based on overall A/E ratio for Male Nonsmoker&gt;=100,000.  Additional reporting categories (e.g by issue age, duration) are then based on this same group of companies.  </t>
  </si>
  <si>
    <t xml:space="preserve">Companies assigned to quintiles for this exhibit based on overall A/E ratio for Female Nonsmoker&lt;100,000.  Additional reporting categories (e.g by issue age, duration) are then based on this same group of companies.  </t>
  </si>
  <si>
    <t xml:space="preserve">Companies assigned to quintiles for this exhibit based on overall A/E ratio for Female Nonsmoker&gt;=100,000.  Additional reporting categories (e.g by issue age, duration) are then based on this same group of companies.  </t>
  </si>
  <si>
    <t xml:space="preserve">Companies assigned to quintiles for this exhibit based on overall A/E ratio for Male Smoker&lt;100,000.  Additional reporting categories (e.g by issue age, duration) are then based on this same group of companies.  </t>
  </si>
  <si>
    <t xml:space="preserve">Companies assigned to quintiles for this exhibit based on overall A/E ratio for Male Smoker&gt;=100,000.  Additional reporting categories (e.g by issue age, duration) are then based on this same group of companies.  </t>
  </si>
  <si>
    <t xml:space="preserve">Companies assigned to quintiles for this exhibit based on overall A/E ratio for Female Smoker&lt;100,000.  Additional reporting categories (e.g by issue age, duration) are then based on this same group of companies.  </t>
  </si>
  <si>
    <t xml:space="preserve">Companies assigned to quintiles for this exhibit based on overall A/E ratio for Female Smoker&gt;=100,000.  Additional reporting categories (e.g by issue age, duration) are then based on this same group of companies.  </t>
  </si>
  <si>
    <t>Unknown</t>
  </si>
  <si>
    <t>Footnote:                                                                                                                                                                                                                                           1. Annual Change formula: {[(07 rate)/(05 rate)]^0.5} - 1</t>
  </si>
  <si>
    <t>Total Female</t>
  </si>
  <si>
    <t>Total Nonsmoker</t>
  </si>
  <si>
    <t>Total Smoker</t>
  </si>
  <si>
    <t>Total Male</t>
  </si>
  <si>
    <t>Total Unknown</t>
  </si>
  <si>
    <t>A/E Ratio by Count</t>
  </si>
  <si>
    <t>by Count</t>
  </si>
  <si>
    <t>A/E Ratio by Amount (All Companies)</t>
  </si>
  <si>
    <t>A/E Ratio by Amount (Common Companies)</t>
  </si>
  <si>
    <t>Exposure by Amount</t>
  </si>
  <si>
    <t>Dollar amount in millions</t>
  </si>
  <si>
    <t>Ratios by Amount</t>
  </si>
  <si>
    <t>SOA Industry Life Experience, 2004-2007</t>
  </si>
  <si>
    <r>
      <t>Annual Change</t>
    </r>
    <r>
      <rPr>
        <b/>
        <vertAlign val="superscript"/>
        <sz val="10"/>
        <color indexed="8"/>
        <rFont val="Arial"/>
        <family val="2"/>
      </rPr>
      <t>1</t>
    </r>
  </si>
  <si>
    <t>The user is encouraged to review the 2008 VBT report for details on the derivation of the tables.  The report is located at SOA website under Research, Experience Studies, Individual Life, 2008 Preferred Mortality Report.</t>
  </si>
  <si>
    <t>Footnote:                                                                                                                                                                                                                                               1. Annual Change formula: {[(07 rate)/(05 rate)]^0.5} - 1</t>
  </si>
  <si>
    <t>A/E Ratio by Count (All Companies)</t>
  </si>
  <si>
    <t>A/E Ratio by Count (Common Companies)</t>
  </si>
  <si>
    <t>A/E  Ratio by Count (Common Companies)</t>
  </si>
  <si>
    <t>For policies&lt;100,000, there were 37 companies with 8,7,7,7, and 8 companies assigned to the lowest to highest quintiles.</t>
  </si>
  <si>
    <t>For policies&gt;=100,000, there were 39 companies with 8,8,7,8, and 8 companies assigned to the lowest to highest quintiles.</t>
  </si>
  <si>
    <t>Exposure by Policy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</si>
</sst>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0000%"/>
    <numFmt numFmtId="167" formatCode="_(* #,##0_);_(* \(#,##0\);_(* &quot;-&quot;??_);_(@_)"/>
    <numFmt numFmtId="168" formatCode="_(&quot;$&quot;* #,##0_);_(&quot;$&quot;* \(#,##0\);_(&quot;$&quot;* &quot;-&quot;??_);_(@_)"/>
    <numFmt numFmtId="169" formatCode="_(* #,##0.0_);_(* \(#,##0.0\);_(* &quot;-&quot;??_);_(@_)"/>
    <numFmt numFmtId="170" formatCode="_(&quot;$&quot;* #,##0.0_);_(&quot;$&quot;* \(#,##0.0\);_(&quot;$&quot;* &quot;-&quot;??_);_(@_)"/>
    <numFmt numFmtId="171" formatCode="#,##0.0"/>
    <numFmt numFmtId="172" formatCode="0.00000"/>
  </numFmts>
  <fonts count="75">
    <font>
      <sz val="10"/>
      <name val="Arial"/>
      <family val="0"/>
    </font>
    <font>
      <sz val="11"/>
      <color indexed="8"/>
      <name val="Calibri"/>
      <family val="2"/>
    </font>
    <font>
      <b/>
      <sz val="10"/>
      <name val="Arial"/>
      <family val="2"/>
    </font>
    <font>
      <b/>
      <sz val="14"/>
      <name val="Arial"/>
      <family val="2"/>
    </font>
    <font>
      <b/>
      <sz val="12"/>
      <name val="Arial"/>
      <family val="2"/>
    </font>
    <font>
      <b/>
      <i/>
      <sz val="12"/>
      <name val="Arial"/>
      <family val="2"/>
    </font>
    <font>
      <b/>
      <i/>
      <sz val="10"/>
      <name val="Arial"/>
      <family val="2"/>
    </font>
    <font>
      <b/>
      <u val="single"/>
      <sz val="12"/>
      <name val="Arial"/>
      <family val="2"/>
    </font>
    <font>
      <sz val="10"/>
      <color indexed="8"/>
      <name val="Arial"/>
      <family val="2"/>
    </font>
    <font>
      <b/>
      <u val="single"/>
      <sz val="12"/>
      <name val="Times New Roman"/>
      <family val="1"/>
    </font>
    <font>
      <b/>
      <u val="single"/>
      <sz val="10"/>
      <name val="Arial"/>
      <family val="2"/>
    </font>
    <font>
      <b/>
      <i/>
      <u val="single"/>
      <sz val="12"/>
      <name val="Arial"/>
      <family val="2"/>
    </font>
    <font>
      <b/>
      <vertAlign val="superscript"/>
      <sz val="10"/>
      <name val="Arial"/>
      <family val="2"/>
    </font>
    <font>
      <sz val="7"/>
      <name val="Arial"/>
      <family val="2"/>
    </font>
    <font>
      <b/>
      <sz val="11"/>
      <color indexed="8"/>
      <name val="Calibri"/>
      <family val="2"/>
    </font>
    <font>
      <sz val="8"/>
      <name val="Arial"/>
      <family val="2"/>
    </font>
    <font>
      <sz val="8"/>
      <name val="Tahoma"/>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Calibri"/>
      <family val="2"/>
    </font>
    <font>
      <sz val="10"/>
      <name val="MS Sans Serif"/>
      <family val="2"/>
    </font>
    <font>
      <b/>
      <i/>
      <u val="single"/>
      <sz val="10"/>
      <name val="Arial"/>
      <family val="2"/>
    </font>
    <font>
      <b/>
      <vertAlign val="superscript"/>
      <sz val="10"/>
      <color indexed="8"/>
      <name val="Arial"/>
      <family val="2"/>
    </font>
    <font>
      <sz val="11"/>
      <name val="Calibri"/>
      <family val="2"/>
    </font>
    <font>
      <b/>
      <sz val="10"/>
      <color indexed="8"/>
      <name val="Arial"/>
      <family val="2"/>
    </font>
    <font>
      <b/>
      <i/>
      <sz val="10"/>
      <color indexed="8"/>
      <name val="Arial"/>
      <family val="2"/>
    </font>
    <font>
      <b/>
      <u val="single"/>
      <sz val="12"/>
      <color indexed="8"/>
      <name val="Arial"/>
      <family val="2"/>
    </font>
    <font>
      <b/>
      <sz val="14"/>
      <color indexed="8"/>
      <name val="Arial"/>
      <family val="2"/>
    </font>
    <font>
      <b/>
      <sz val="12"/>
      <color indexed="8"/>
      <name val="Arial"/>
      <family val="2"/>
    </font>
    <font>
      <b/>
      <i/>
      <sz val="12"/>
      <color indexed="8"/>
      <name val="Arial"/>
      <family val="2"/>
    </font>
    <font>
      <b/>
      <u val="single"/>
      <sz val="10"/>
      <color indexed="8"/>
      <name val="Arial"/>
      <family val="2"/>
    </font>
    <font>
      <sz val="7"/>
      <color indexed="8"/>
      <name val="Arial"/>
      <family val="2"/>
    </font>
    <font>
      <b/>
      <u val="single"/>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i/>
      <sz val="10"/>
      <color theme="1"/>
      <name val="Arial"/>
      <family val="2"/>
    </font>
    <font>
      <b/>
      <u val="single"/>
      <sz val="12"/>
      <color theme="1"/>
      <name val="Arial"/>
      <family val="2"/>
    </font>
    <font>
      <b/>
      <sz val="14"/>
      <color theme="1"/>
      <name val="Arial"/>
      <family val="2"/>
    </font>
    <font>
      <b/>
      <sz val="12"/>
      <color theme="1"/>
      <name val="Arial"/>
      <family val="2"/>
    </font>
    <font>
      <b/>
      <i/>
      <sz val="12"/>
      <color theme="1"/>
      <name val="Arial"/>
      <family val="2"/>
    </font>
    <font>
      <b/>
      <u val="single"/>
      <sz val="10"/>
      <color theme="1"/>
      <name val="Arial"/>
      <family val="2"/>
    </font>
    <font>
      <sz val="7"/>
      <color theme="1"/>
      <name val="Arial"/>
      <family val="2"/>
    </font>
    <font>
      <b/>
      <u val="single"/>
      <sz val="12"/>
      <color theme="1"/>
      <name val="Times New Roman"/>
      <family val="1"/>
    </font>
    <font>
      <b/>
      <sz val="8"/>
      <name val="Arial"/>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top style="thin"/>
      <bottom/>
    </border>
    <border>
      <left style="thin"/>
      <right/>
      <top/>
      <bottom style="thin"/>
    </border>
    <border>
      <left style="thin"/>
      <right/>
      <top style="thin"/>
      <bottom style="thin"/>
    </border>
    <border>
      <left style="thin"/>
      <right/>
      <top/>
      <bottom/>
    </border>
    <border>
      <left style="thin">
        <color indexed="8"/>
      </left>
      <right style="thin">
        <color indexed="8"/>
      </right>
      <top style="thin">
        <color indexed="8"/>
      </top>
      <bottom style="thin">
        <color indexed="8"/>
      </bottom>
    </border>
    <border>
      <left/>
      <right style="thin"/>
      <top/>
      <bottom/>
    </border>
    <border>
      <left/>
      <right style="thin"/>
      <top style="thin"/>
      <bottom style="thin"/>
    </border>
    <border>
      <left/>
      <right/>
      <top/>
      <bottom style="double"/>
    </border>
    <border>
      <left/>
      <right/>
      <top/>
      <bottom style="thin"/>
    </border>
    <border>
      <left/>
      <right style="thin"/>
      <top style="double"/>
      <bottom style="thin"/>
    </border>
    <border>
      <left/>
      <right/>
      <top style="double"/>
      <bottom style="thin"/>
    </border>
    <border>
      <left/>
      <right style="thin"/>
      <top/>
      <bottom style="thin"/>
    </border>
    <border>
      <left style="thin"/>
      <right style="thin"/>
      <top/>
      <bottom style="thin"/>
    </border>
    <border>
      <left/>
      <right style="thin"/>
      <top style="thin"/>
      <bottom/>
    </border>
    <border>
      <left style="thin"/>
      <right style="thin"/>
      <top style="thin"/>
      <bottom style="thin"/>
    </border>
    <border>
      <left style="thin">
        <color indexed="8"/>
      </left>
      <right/>
      <top style="thin">
        <color indexed="8"/>
      </top>
      <bottom/>
    </border>
    <border>
      <left style="thin">
        <color indexed="8"/>
      </left>
      <right/>
      <top/>
      <bottom/>
    </border>
    <border>
      <left style="thin">
        <color indexed="8"/>
      </left>
      <right/>
      <top/>
      <bottom style="thin"/>
    </border>
    <border>
      <left style="thin"/>
      <right style="thin"/>
      <top style="thin"/>
      <bottom/>
    </border>
    <border>
      <left style="thin"/>
      <right style="thin"/>
      <top/>
      <bottom/>
    </border>
    <border>
      <left/>
      <right/>
      <top style="thin"/>
      <bottom/>
    </border>
    <border>
      <left style="thin">
        <color indexed="8"/>
      </left>
      <right/>
      <top style="thin"/>
      <bottom/>
    </border>
    <border>
      <left style="thin"/>
      <right style="thin"/>
      <top style="thin">
        <color indexed="8"/>
      </top>
      <bottom style="thin"/>
    </border>
    <border>
      <left style="thin">
        <color indexed="8"/>
      </left>
      <right/>
      <top style="thin">
        <color indexed="8"/>
      </top>
      <bottom style="thin">
        <color indexed="8"/>
      </bottom>
    </border>
    <border>
      <left/>
      <right/>
      <top style="thin">
        <color indexed="8"/>
      </top>
      <bottom style="thin">
        <color indexed="8"/>
      </bottom>
    </border>
    <border>
      <left style="thin"/>
      <right/>
      <top style="thin">
        <color indexed="8"/>
      </top>
      <bottom/>
    </border>
    <border>
      <left/>
      <right/>
      <top style="thin">
        <color indexed="8"/>
      </top>
      <bottom/>
    </border>
    <border>
      <left style="thin"/>
      <right style="thin">
        <color indexed="8"/>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right/>
      <top/>
      <bottom style="double"/>
    </border>
    <border>
      <left style="thin"/>
      <right style="thin"/>
      <top/>
      <bottom style="double"/>
    </border>
    <border>
      <left/>
      <right style="thin"/>
      <top/>
      <bottom style="double"/>
    </border>
    <border>
      <left style="thin"/>
      <right/>
      <top style="double"/>
      <bottom style="thin"/>
    </border>
    <border>
      <left style="thin"/>
      <right style="thin"/>
      <top style="double"/>
      <bottom style="thin"/>
    </border>
    <border>
      <left style="thin"/>
      <right style="thin"/>
      <top style="thin">
        <color indexed="8"/>
      </top>
      <bottom style="thin">
        <color indexed="8"/>
      </bottom>
    </border>
    <border>
      <left/>
      <right style="thin"/>
      <top style="thin">
        <color indexed="8"/>
      </top>
      <bottom/>
    </border>
    <border>
      <left style="thin"/>
      <right style="thin"/>
      <top style="thin">
        <color indexed="8"/>
      </top>
      <bottom/>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left style="thin">
        <color indexed="8"/>
      </left>
      <right style="thin">
        <color indexed="8"/>
      </right>
      <top>
        <color indexed="63"/>
      </top>
      <bottom style="thin">
        <color indexed="8"/>
      </bottom>
    </border>
  </borders>
  <cellStyleXfs count="3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7"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7"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48" fillId="2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8" fillId="27"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4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48"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48" fillId="32"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48" fillId="34"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48" fillId="36"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48" fillId="3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48" fillId="40"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48" fillId="4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48" fillId="4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9" fillId="4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0" fillId="45" borderId="1" applyNumberFormat="0" applyAlignment="0" applyProtection="0"/>
    <xf numFmtId="0" fontId="20" fillId="46" borderId="2" applyNumberFormat="0" applyAlignment="0" applyProtection="0"/>
    <xf numFmtId="0" fontId="20" fillId="46" borderId="2" applyNumberFormat="0" applyAlignment="0" applyProtection="0"/>
    <xf numFmtId="0" fontId="20" fillId="46" borderId="2" applyNumberFormat="0" applyAlignment="0" applyProtection="0"/>
    <xf numFmtId="0" fontId="20" fillId="46" borderId="2" applyNumberFormat="0" applyAlignment="0" applyProtection="0"/>
    <xf numFmtId="0" fontId="20" fillId="46" borderId="2" applyNumberFormat="0" applyAlignment="0" applyProtection="0"/>
    <xf numFmtId="0" fontId="20" fillId="46" borderId="2" applyNumberFormat="0" applyAlignment="0" applyProtection="0"/>
    <xf numFmtId="0" fontId="51" fillId="47" borderId="3" applyNumberFormat="0" applyAlignment="0" applyProtection="0"/>
    <xf numFmtId="0" fontId="21" fillId="48" borderId="4" applyNumberFormat="0" applyAlignment="0" applyProtection="0"/>
    <xf numFmtId="0" fontId="21" fillId="48" borderId="4" applyNumberFormat="0" applyAlignment="0" applyProtection="0"/>
    <xf numFmtId="0" fontId="21" fillId="48" borderId="4" applyNumberFormat="0" applyAlignment="0" applyProtection="0"/>
    <xf numFmtId="0" fontId="21" fillId="48" borderId="4" applyNumberFormat="0" applyAlignment="0" applyProtection="0"/>
    <xf numFmtId="0" fontId="21" fillId="48" borderId="4" applyNumberFormat="0" applyAlignment="0" applyProtection="0"/>
    <xf numFmtId="0" fontId="21"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5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3" fillId="49"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54"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5" fillId="0" borderId="7"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56" fillId="0" borderId="9"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5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7" fillId="50" borderId="1" applyNumberFormat="0" applyAlignment="0" applyProtection="0"/>
    <xf numFmtId="0" fontId="27" fillId="13" borderId="2" applyNumberFormat="0" applyAlignment="0" applyProtection="0"/>
    <xf numFmtId="0" fontId="27" fillId="13" borderId="2" applyNumberFormat="0" applyAlignment="0" applyProtection="0"/>
    <xf numFmtId="0" fontId="27" fillId="13" borderId="2" applyNumberFormat="0" applyAlignment="0" applyProtection="0"/>
    <xf numFmtId="0" fontId="27" fillId="13" borderId="2" applyNumberFormat="0" applyAlignment="0" applyProtection="0"/>
    <xf numFmtId="0" fontId="27" fillId="13" borderId="2" applyNumberFormat="0" applyAlignment="0" applyProtection="0"/>
    <xf numFmtId="0" fontId="27" fillId="13" borderId="2" applyNumberFormat="0" applyAlignment="0" applyProtection="0"/>
    <xf numFmtId="0" fontId="58" fillId="0" borderId="11"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59"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53" borderId="13" applyNumberFormat="0" applyFont="0" applyAlignment="0" applyProtection="0"/>
    <xf numFmtId="0" fontId="34" fillId="54" borderId="14" applyNumberFormat="0" applyFont="0" applyAlignment="0" applyProtection="0"/>
    <xf numFmtId="0" fontId="34" fillId="54" borderId="14" applyNumberFormat="0" applyFont="0" applyAlignment="0" applyProtection="0"/>
    <xf numFmtId="0" fontId="34" fillId="54" borderId="14" applyNumberFormat="0" applyFont="0" applyAlignment="0" applyProtection="0"/>
    <xf numFmtId="0" fontId="34" fillId="54" borderId="14" applyNumberFormat="0" applyFont="0" applyAlignment="0" applyProtection="0"/>
    <xf numFmtId="0" fontId="34" fillId="54" borderId="14" applyNumberFormat="0" applyFont="0" applyAlignment="0" applyProtection="0"/>
    <xf numFmtId="0" fontId="34" fillId="54" borderId="14" applyNumberFormat="0" applyFont="0" applyAlignment="0" applyProtection="0"/>
    <xf numFmtId="0" fontId="60" fillId="45" borderId="15"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2"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6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760">
    <xf numFmtId="0" fontId="0" fillId="0" borderId="0" xfId="0" applyAlignment="1">
      <alignment/>
    </xf>
    <xf numFmtId="0" fontId="2" fillId="0" borderId="0" xfId="0" applyFont="1" applyBorder="1" applyAlignment="1">
      <alignment horizontal="center"/>
    </xf>
    <xf numFmtId="165" fontId="2" fillId="0" borderId="0" xfId="0" applyNumberFormat="1" applyFont="1" applyAlignment="1">
      <alignment horizontal="center" wrapText="1"/>
    </xf>
    <xf numFmtId="3" fontId="2" fillId="0" borderId="19" xfId="0" applyNumberFormat="1" applyFont="1" applyBorder="1" applyAlignment="1">
      <alignment horizontal="center"/>
    </xf>
    <xf numFmtId="0" fontId="6" fillId="0" borderId="0" xfId="0" applyFont="1" applyAlignment="1">
      <alignment/>
    </xf>
    <xf numFmtId="0" fontId="2" fillId="0" borderId="20" xfId="0" applyFont="1" applyBorder="1" applyAlignment="1">
      <alignment horizontal="center" wrapText="1"/>
    </xf>
    <xf numFmtId="0" fontId="2" fillId="0" borderId="21" xfId="0" applyFont="1" applyBorder="1" applyAlignment="1">
      <alignment horizontal="center" wrapText="1"/>
    </xf>
    <xf numFmtId="0" fontId="0" fillId="0" borderId="0" xfId="0" applyAlignment="1">
      <alignment horizontal="center"/>
    </xf>
    <xf numFmtId="0" fontId="2" fillId="0" borderId="0" xfId="0" applyFont="1" applyAlignment="1">
      <alignment horizontal="center"/>
    </xf>
    <xf numFmtId="3" fontId="3" fillId="0" borderId="0" xfId="0" applyNumberFormat="1" applyFont="1" applyBorder="1" applyAlignment="1">
      <alignment horizontal="centerContinuous"/>
    </xf>
    <xf numFmtId="3" fontId="4" fillId="0" borderId="0" xfId="0" applyNumberFormat="1" applyFont="1" applyBorder="1" applyAlignment="1">
      <alignment horizontal="centerContinuous"/>
    </xf>
    <xf numFmtId="3" fontId="4" fillId="0" borderId="0" xfId="0" applyNumberFormat="1" applyFont="1" applyBorder="1" applyAlignment="1">
      <alignment horizontal="left"/>
    </xf>
    <xf numFmtId="0" fontId="2" fillId="0" borderId="0" xfId="0" applyFont="1" applyAlignment="1">
      <alignment horizontal="center" wrapText="1"/>
    </xf>
    <xf numFmtId="3" fontId="2" fillId="0" borderId="0" xfId="0" applyNumberFormat="1" applyFont="1" applyAlignment="1">
      <alignment horizontal="center" wrapText="1"/>
    </xf>
    <xf numFmtId="0" fontId="2" fillId="0" borderId="22" xfId="0" applyFont="1" applyBorder="1" applyAlignment="1">
      <alignment horizontal="center"/>
    </xf>
    <xf numFmtId="0" fontId="2" fillId="0" borderId="0" xfId="0" applyFont="1" applyAlignment="1">
      <alignment wrapText="1"/>
    </xf>
    <xf numFmtId="0" fontId="2" fillId="0" borderId="23" xfId="0" applyFont="1" applyBorder="1" applyAlignment="1">
      <alignment horizontal="center" wrapText="1"/>
    </xf>
    <xf numFmtId="9" fontId="0" fillId="0" borderId="0" xfId="298" applyFont="1" applyAlignment="1">
      <alignment/>
    </xf>
    <xf numFmtId="0" fontId="4" fillId="0" borderId="0" xfId="0" applyFont="1" applyFill="1" applyBorder="1" applyAlignment="1">
      <alignment horizontal="centerContinuous"/>
    </xf>
    <xf numFmtId="0" fontId="8" fillId="46" borderId="24" xfId="283" applyFont="1" applyFill="1" applyBorder="1" applyAlignment="1">
      <alignment horizontal="center"/>
      <protection/>
    </xf>
    <xf numFmtId="0" fontId="8" fillId="0" borderId="14" xfId="283" applyFont="1" applyFill="1" applyBorder="1" applyAlignment="1">
      <alignment horizontal="left" wrapText="1"/>
      <protection/>
    </xf>
    <xf numFmtId="0" fontId="8" fillId="0" borderId="14" xfId="283" applyFont="1" applyFill="1" applyBorder="1" applyAlignment="1">
      <alignment horizontal="right" wrapText="1"/>
      <protection/>
    </xf>
    <xf numFmtId="165" fontId="0" fillId="0" borderId="0" xfId="298" applyNumberFormat="1" applyFont="1" applyAlignment="1">
      <alignment/>
    </xf>
    <xf numFmtId="0" fontId="2" fillId="0" borderId="0" xfId="0" applyFont="1" applyFill="1" applyBorder="1" applyAlignment="1">
      <alignment horizontal="center"/>
    </xf>
    <xf numFmtId="0" fontId="3" fillId="0" borderId="0" xfId="0" applyFont="1" applyFill="1" applyBorder="1" applyAlignment="1">
      <alignment horizontal="centerContinuous"/>
    </xf>
    <xf numFmtId="0" fontId="5" fillId="0" borderId="0" xfId="0" applyFont="1" applyFill="1" applyBorder="1" applyAlignment="1">
      <alignment horizontal="centerContinuous"/>
    </xf>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165" fontId="2" fillId="0" borderId="0" xfId="0" applyNumberFormat="1" applyFont="1" applyFill="1" applyAlignment="1">
      <alignment horizontal="center" wrapText="1"/>
    </xf>
    <xf numFmtId="0" fontId="2" fillId="0" borderId="25" xfId="0" applyFont="1" applyFill="1" applyBorder="1" applyAlignment="1">
      <alignment horizontal="center"/>
    </xf>
    <xf numFmtId="3" fontId="2" fillId="0" borderId="19" xfId="0" applyNumberFormat="1" applyFont="1" applyFill="1" applyBorder="1" applyAlignment="1">
      <alignment horizontal="center"/>
    </xf>
    <xf numFmtId="168" fontId="2" fillId="0" borderId="19" xfId="207" applyNumberFormat="1" applyFont="1" applyFill="1" applyBorder="1" applyAlignment="1">
      <alignment horizontal="center"/>
    </xf>
    <xf numFmtId="165" fontId="2" fillId="0" borderId="19" xfId="0" applyNumberFormat="1" applyFont="1" applyFill="1" applyBorder="1" applyAlignment="1">
      <alignment horizontal="center"/>
    </xf>
    <xf numFmtId="165" fontId="2" fillId="0" borderId="19" xfId="298" applyNumberFormat="1" applyFont="1" applyFill="1" applyBorder="1" applyAlignment="1">
      <alignment horizontal="center"/>
    </xf>
    <xf numFmtId="165" fontId="2" fillId="0" borderId="26" xfId="0" applyNumberFormat="1" applyFont="1" applyFill="1" applyBorder="1" applyAlignment="1">
      <alignment horizontal="center"/>
    </xf>
    <xf numFmtId="0" fontId="2" fillId="0" borderId="0" xfId="0" applyFont="1" applyFill="1" applyBorder="1" applyAlignment="1">
      <alignment/>
    </xf>
    <xf numFmtId="0" fontId="2" fillId="0" borderId="0" xfId="0" applyFont="1" applyBorder="1" applyAlignment="1">
      <alignment horizontal="left" wrapText="1"/>
    </xf>
    <xf numFmtId="165" fontId="3" fillId="0" borderId="0" xfId="274" applyNumberFormat="1" applyFont="1" applyBorder="1" applyAlignment="1">
      <alignment horizontal="center"/>
      <protection/>
    </xf>
    <xf numFmtId="165" fontId="5" fillId="0" borderId="0" xfId="274" applyNumberFormat="1" applyFont="1" applyBorder="1" applyAlignment="1">
      <alignment horizontal="centerContinuous" wrapText="1"/>
      <protection/>
    </xf>
    <xf numFmtId="165" fontId="5" fillId="0" borderId="0" xfId="274" applyNumberFormat="1" applyFont="1" applyBorder="1" applyAlignment="1">
      <alignment horizontal="center" wrapText="1"/>
      <protection/>
    </xf>
    <xf numFmtId="0" fontId="2" fillId="0" borderId="0" xfId="274" applyFont="1" applyAlignment="1">
      <alignment horizontal="left" wrapText="1"/>
      <protection/>
    </xf>
    <xf numFmtId="0" fontId="2" fillId="0" borderId="0" xfId="274" applyFont="1" applyAlignment="1">
      <alignment wrapText="1"/>
      <protection/>
    </xf>
    <xf numFmtId="0" fontId="2" fillId="0" borderId="0" xfId="274" applyFont="1" applyBorder="1" applyAlignment="1">
      <alignment horizontal="center" wrapText="1"/>
      <protection/>
    </xf>
    <xf numFmtId="0" fontId="2" fillId="0" borderId="27" xfId="274" applyFont="1" applyBorder="1" applyAlignment="1">
      <alignment horizontal="center" wrapText="1"/>
      <protection/>
    </xf>
    <xf numFmtId="16" fontId="10" fillId="0" borderId="0" xfId="274" applyNumberFormat="1" applyFont="1" applyBorder="1" applyAlignment="1" quotePrefix="1">
      <alignment horizontal="center"/>
      <protection/>
    </xf>
    <xf numFmtId="0" fontId="10" fillId="0" borderId="0" xfId="274" applyFont="1" applyBorder="1" applyAlignment="1" quotePrefix="1">
      <alignment horizontal="center"/>
      <protection/>
    </xf>
    <xf numFmtId="0" fontId="2" fillId="0" borderId="0" xfId="0" applyFont="1" applyBorder="1" applyAlignment="1">
      <alignment horizontal="center" wrapText="1"/>
    </xf>
    <xf numFmtId="165" fontId="2" fillId="0" borderId="19" xfId="0" applyNumberFormat="1" applyFont="1" applyBorder="1" applyAlignment="1">
      <alignment horizontal="center"/>
    </xf>
    <xf numFmtId="0" fontId="2" fillId="0" borderId="19" xfId="0" applyFont="1" applyBorder="1" applyAlignment="1">
      <alignment horizontal="center"/>
    </xf>
    <xf numFmtId="165" fontId="2" fillId="0" borderId="26" xfId="0" applyNumberFormat="1" applyFont="1" applyBorder="1" applyAlignment="1">
      <alignment horizontal="center"/>
    </xf>
    <xf numFmtId="165" fontId="4" fillId="0" borderId="0" xfId="0" applyNumberFormat="1" applyFont="1" applyFill="1" applyBorder="1" applyAlignment="1">
      <alignment horizontal="center"/>
    </xf>
    <xf numFmtId="0" fontId="2" fillId="0" borderId="0" xfId="274" applyFont="1" applyBorder="1" applyAlignment="1">
      <alignment wrapText="1"/>
      <protection/>
    </xf>
    <xf numFmtId="0" fontId="2" fillId="0" borderId="0" xfId="274" applyFont="1" applyBorder="1" applyAlignment="1">
      <alignment horizontal="center"/>
      <protection/>
    </xf>
    <xf numFmtId="0" fontId="6" fillId="0" borderId="0" xfId="274" applyFont="1" applyBorder="1">
      <alignment/>
      <protection/>
    </xf>
    <xf numFmtId="165" fontId="6" fillId="0" borderId="0" xfId="274" applyNumberFormat="1" applyFont="1" applyBorder="1" applyAlignment="1">
      <alignment wrapText="1"/>
      <protection/>
    </xf>
    <xf numFmtId="0" fontId="2" fillId="0" borderId="0" xfId="274" applyFont="1" applyBorder="1" applyAlignment="1">
      <alignment/>
      <protection/>
    </xf>
    <xf numFmtId="0" fontId="2" fillId="0" borderId="0" xfId="0" applyNumberFormat="1" applyFont="1" applyAlignment="1">
      <alignment/>
    </xf>
    <xf numFmtId="0" fontId="2" fillId="0" borderId="0" xfId="0" applyNumberFormat="1" applyFont="1" applyFill="1" applyBorder="1" applyAlignment="1">
      <alignment/>
    </xf>
    <xf numFmtId="0" fontId="2" fillId="0" borderId="28" xfId="274" applyFont="1" applyBorder="1" applyAlignment="1">
      <alignment horizontal="center" wrapText="1"/>
      <protection/>
    </xf>
    <xf numFmtId="164" fontId="9" fillId="0" borderId="0" xfId="0" applyNumberFormat="1" applyFont="1" applyBorder="1" applyAlignment="1">
      <alignment/>
    </xf>
    <xf numFmtId="165" fontId="3" fillId="0" borderId="0" xfId="274" applyNumberFormat="1" applyFont="1" applyBorder="1" applyAlignment="1">
      <alignment/>
      <protection/>
    </xf>
    <xf numFmtId="165" fontId="4" fillId="0" borderId="0" xfId="274" applyNumberFormat="1" applyFont="1" applyBorder="1" applyAlignment="1">
      <alignment wrapText="1"/>
      <protection/>
    </xf>
    <xf numFmtId="165" fontId="5" fillId="0" borderId="0" xfId="274" applyNumberFormat="1" applyFont="1" applyBorder="1" applyAlignment="1">
      <alignment wrapText="1"/>
      <protection/>
    </xf>
    <xf numFmtId="0" fontId="2" fillId="0" borderId="0" xfId="274" applyFont="1" applyBorder="1" applyAlignment="1">
      <alignment horizontal="center" vertical="center" wrapText="1"/>
      <protection/>
    </xf>
    <xf numFmtId="0" fontId="2" fillId="0" borderId="27" xfId="274" applyFont="1" applyBorder="1" applyAlignment="1">
      <alignment horizontal="center" vertical="center" wrapText="1"/>
      <protection/>
    </xf>
    <xf numFmtId="0" fontId="2" fillId="0" borderId="25" xfId="274" applyFont="1" applyBorder="1" applyAlignment="1">
      <alignment horizontal="center" vertical="center" wrapText="1"/>
      <protection/>
    </xf>
    <xf numFmtId="0" fontId="2" fillId="0" borderId="0" xfId="274" applyFont="1" applyBorder="1" applyAlignment="1">
      <alignment vertical="center" wrapText="1"/>
      <protection/>
    </xf>
    <xf numFmtId="165" fontId="5" fillId="0" borderId="0" xfId="274" applyNumberFormat="1" applyFont="1" applyBorder="1" applyAlignment="1">
      <alignment horizontal="center" vertical="center" wrapText="1"/>
      <protection/>
    </xf>
    <xf numFmtId="165" fontId="5" fillId="0" borderId="0" xfId="274" applyNumberFormat="1" applyFont="1" applyBorder="1" applyAlignment="1">
      <alignment horizontal="centerContinuous" vertical="center" wrapText="1"/>
      <protection/>
    </xf>
    <xf numFmtId="165" fontId="6" fillId="0" borderId="0" xfId="274" applyNumberFormat="1" applyFont="1" applyBorder="1" applyAlignment="1">
      <alignment horizontal="center" vertical="center" wrapText="1"/>
      <protection/>
    </xf>
    <xf numFmtId="165" fontId="6" fillId="0" borderId="0" xfId="274" applyNumberFormat="1" applyFont="1" applyBorder="1" applyAlignment="1">
      <alignment vertical="center" wrapText="1"/>
      <protection/>
    </xf>
    <xf numFmtId="0" fontId="2" fillId="0" borderId="21" xfId="274" applyFont="1" applyBorder="1" applyAlignment="1">
      <alignment horizontal="center" vertical="center" wrapText="1"/>
      <protection/>
    </xf>
    <xf numFmtId="0" fontId="2" fillId="0" borderId="28" xfId="274" applyFont="1" applyBorder="1" applyAlignment="1">
      <alignment horizontal="center" vertical="center"/>
      <protection/>
    </xf>
    <xf numFmtId="0" fontId="2" fillId="0" borderId="0" xfId="274" applyFont="1" applyBorder="1" applyAlignment="1">
      <alignment horizontal="center" vertical="center"/>
      <protection/>
    </xf>
    <xf numFmtId="0" fontId="6" fillId="0" borderId="29" xfId="274" applyFont="1" applyBorder="1" applyAlignment="1">
      <alignment horizontal="center" vertical="center" wrapText="1"/>
      <protection/>
    </xf>
    <xf numFmtId="165" fontId="2" fillId="0" borderId="28" xfId="298" applyNumberFormat="1" applyFont="1" applyBorder="1" applyAlignment="1">
      <alignment vertical="center" wrapText="1"/>
    </xf>
    <xf numFmtId="0" fontId="6" fillId="0" borderId="29" xfId="274" applyFont="1" applyBorder="1" applyAlignment="1">
      <alignment vertical="center"/>
      <protection/>
    </xf>
    <xf numFmtId="0" fontId="10" fillId="0" borderId="0" xfId="274" applyFont="1" applyBorder="1" applyAlignment="1">
      <alignment horizontal="center" vertical="center"/>
      <protection/>
    </xf>
    <xf numFmtId="16" fontId="10" fillId="0" borderId="0" xfId="274" applyNumberFormat="1" applyFont="1" applyBorder="1" applyAlignment="1" quotePrefix="1">
      <alignment horizontal="center" vertical="center"/>
      <protection/>
    </xf>
    <xf numFmtId="0" fontId="10" fillId="0" borderId="0" xfId="274" applyFont="1" applyBorder="1" applyAlignment="1" quotePrefix="1">
      <alignment horizontal="center" vertical="center"/>
      <protection/>
    </xf>
    <xf numFmtId="165" fontId="2" fillId="0" borderId="30" xfId="298" applyNumberFormat="1" applyFont="1" applyBorder="1" applyAlignment="1">
      <alignment vertical="center"/>
    </xf>
    <xf numFmtId="165" fontId="2" fillId="0" borderId="28" xfId="298" applyNumberFormat="1" applyFont="1" applyBorder="1" applyAlignment="1">
      <alignment horizontal="center" vertical="center" wrapText="1"/>
    </xf>
    <xf numFmtId="0" fontId="6" fillId="0" borderId="0" xfId="274" applyFont="1" applyFill="1" applyBorder="1">
      <alignment/>
      <protection/>
    </xf>
    <xf numFmtId="0" fontId="6" fillId="0" borderId="31" xfId="274" applyFont="1" applyBorder="1" applyAlignment="1">
      <alignment horizontal="center" vertical="center" wrapText="1"/>
      <protection/>
    </xf>
    <xf numFmtId="165" fontId="2" fillId="0" borderId="0" xfId="298" applyNumberFormat="1" applyFont="1" applyBorder="1" applyAlignment="1">
      <alignment vertical="center" wrapText="1"/>
    </xf>
    <xf numFmtId="165" fontId="2" fillId="0" borderId="32" xfId="298" applyNumberFormat="1" applyFont="1" applyBorder="1" applyAlignment="1">
      <alignment vertical="center" wrapText="1"/>
    </xf>
    <xf numFmtId="165" fontId="2" fillId="0" borderId="32" xfId="298" applyNumberFormat="1" applyFont="1" applyBorder="1" applyAlignment="1">
      <alignment horizontal="center" vertical="center" wrapText="1"/>
    </xf>
    <xf numFmtId="0" fontId="7" fillId="0" borderId="0" xfId="0" applyFont="1" applyBorder="1" applyAlignment="1">
      <alignment horizontal="center"/>
    </xf>
    <xf numFmtId="0" fontId="2" fillId="0" borderId="0" xfId="0" applyFont="1" applyAlignment="1">
      <alignment horizontal="right"/>
    </xf>
    <xf numFmtId="0" fontId="2" fillId="0" borderId="0" xfId="274" applyFont="1" applyBorder="1" applyAlignment="1">
      <alignment horizontal="right" wrapText="1"/>
      <protection/>
    </xf>
    <xf numFmtId="0" fontId="2" fillId="0" borderId="0" xfId="274" applyFont="1" applyBorder="1" applyAlignment="1" quotePrefix="1">
      <alignment horizontal="center" wrapText="1"/>
      <protection/>
    </xf>
    <xf numFmtId="0" fontId="2" fillId="0" borderId="33" xfId="274" applyFont="1" applyBorder="1" applyAlignment="1">
      <alignment/>
      <protection/>
    </xf>
    <xf numFmtId="0" fontId="2" fillId="0" borderId="0" xfId="0" applyFont="1" applyBorder="1" applyAlignment="1">
      <alignment horizontal="right"/>
    </xf>
    <xf numFmtId="0" fontId="2" fillId="0" borderId="30" xfId="274" applyFont="1" applyBorder="1" applyAlignment="1">
      <alignment horizontal="center" wrapText="1"/>
      <protection/>
    </xf>
    <xf numFmtId="0" fontId="2" fillId="0" borderId="21" xfId="274" applyFont="1" applyBorder="1" applyAlignment="1">
      <alignment horizontal="center" wrapText="1"/>
      <protection/>
    </xf>
    <xf numFmtId="0" fontId="2" fillId="0" borderId="0" xfId="276" applyFont="1" applyBorder="1" applyAlignment="1">
      <alignment horizontal="center"/>
      <protection/>
    </xf>
    <xf numFmtId="165" fontId="2" fillId="0" borderId="0" xfId="276" applyNumberFormat="1" applyFont="1" applyAlignment="1">
      <alignment horizontal="center" wrapText="1"/>
      <protection/>
    </xf>
    <xf numFmtId="0" fontId="2" fillId="0" borderId="20" xfId="276" applyFont="1" applyBorder="1" applyAlignment="1">
      <alignment horizontal="left"/>
      <protection/>
    </xf>
    <xf numFmtId="0" fontId="2" fillId="0" borderId="21" xfId="276" applyFont="1" applyBorder="1" applyAlignment="1">
      <alignment horizontal="left"/>
      <protection/>
    </xf>
    <xf numFmtId="0" fontId="2" fillId="0" borderId="0" xfId="276" applyFont="1" applyBorder="1" applyAlignment="1">
      <alignment horizontal="left"/>
      <protection/>
    </xf>
    <xf numFmtId="0" fontId="2" fillId="0" borderId="20" xfId="276" applyFont="1" applyBorder="1">
      <alignment/>
      <protection/>
    </xf>
    <xf numFmtId="0" fontId="2" fillId="0" borderId="23" xfId="276" applyFont="1" applyBorder="1">
      <alignment/>
      <protection/>
    </xf>
    <xf numFmtId="0" fontId="2" fillId="0" borderId="21" xfId="276" applyFont="1" applyBorder="1">
      <alignment/>
      <protection/>
    </xf>
    <xf numFmtId="0" fontId="2" fillId="0" borderId="0" xfId="276" applyFont="1" applyBorder="1">
      <alignment/>
      <protection/>
    </xf>
    <xf numFmtId="1" fontId="2" fillId="0" borderId="20" xfId="276" applyNumberFormat="1" applyFont="1" applyBorder="1" applyAlignment="1">
      <alignment horizontal="left"/>
      <protection/>
    </xf>
    <xf numFmtId="1" fontId="2" fillId="0" borderId="23" xfId="276" applyNumberFormat="1" applyFont="1" applyBorder="1" applyAlignment="1">
      <alignment horizontal="left"/>
      <protection/>
    </xf>
    <xf numFmtId="0" fontId="2" fillId="0" borderId="23" xfId="276" applyNumberFormat="1" applyFont="1" applyBorder="1" applyAlignment="1" quotePrefix="1">
      <alignment horizontal="left"/>
      <protection/>
    </xf>
    <xf numFmtId="1" fontId="2" fillId="0" borderId="23" xfId="276" applyNumberFormat="1" applyFont="1" applyBorder="1" applyAlignment="1" quotePrefix="1">
      <alignment horizontal="left"/>
      <protection/>
    </xf>
    <xf numFmtId="1" fontId="2" fillId="0" borderId="21" xfId="276" applyNumberFormat="1" applyFont="1" applyBorder="1" applyAlignment="1" quotePrefix="1">
      <alignment horizontal="left"/>
      <protection/>
    </xf>
    <xf numFmtId="0" fontId="2" fillId="0" borderId="23" xfId="276" applyFont="1" applyBorder="1" applyAlignment="1">
      <alignment horizontal="left"/>
      <protection/>
    </xf>
    <xf numFmtId="167" fontId="0" fillId="0" borderId="0" xfId="204" applyNumberFormat="1" applyFont="1" applyBorder="1" applyAlignment="1">
      <alignment horizontal="center"/>
    </xf>
    <xf numFmtId="0" fontId="2" fillId="0" borderId="0" xfId="275" applyFont="1" applyBorder="1" applyAlignment="1">
      <alignment horizontal="center"/>
      <protection/>
    </xf>
    <xf numFmtId="0" fontId="0" fillId="0" borderId="0" xfId="275">
      <alignment/>
      <protection/>
    </xf>
    <xf numFmtId="0" fontId="2" fillId="0" borderId="0" xfId="275" applyFont="1" applyBorder="1" applyAlignment="1">
      <alignment/>
      <protection/>
    </xf>
    <xf numFmtId="0" fontId="2" fillId="0" borderId="27" xfId="0" applyFont="1" applyBorder="1" applyAlignment="1">
      <alignment horizontal="right"/>
    </xf>
    <xf numFmtId="0" fontId="2" fillId="0" borderId="30" xfId="0" applyFont="1" applyBorder="1" applyAlignment="1">
      <alignment horizontal="right"/>
    </xf>
    <xf numFmtId="16" fontId="2" fillId="0" borderId="31" xfId="274" applyNumberFormat="1" applyFont="1" applyBorder="1" applyAlignment="1" quotePrefix="1">
      <alignment horizontal="center" wrapText="1"/>
      <protection/>
    </xf>
    <xf numFmtId="0" fontId="2" fillId="0" borderId="29" xfId="0" applyFont="1" applyFill="1" applyBorder="1" applyAlignment="1">
      <alignment horizontal="right"/>
    </xf>
    <xf numFmtId="164" fontId="9" fillId="0" borderId="0" xfId="0" applyNumberFormat="1"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center"/>
    </xf>
    <xf numFmtId="164" fontId="0" fillId="0" borderId="0" xfId="0" applyNumberFormat="1" applyFont="1" applyBorder="1" applyAlignment="1">
      <alignment horizontal="center"/>
    </xf>
    <xf numFmtId="0" fontId="2" fillId="0" borderId="30" xfId="0" applyFont="1" applyFill="1" applyBorder="1" applyAlignment="1">
      <alignment horizontal="right"/>
    </xf>
    <xf numFmtId="37" fontId="0" fillId="0" borderId="32" xfId="0" applyNumberFormat="1" applyFont="1" applyBorder="1" applyAlignment="1">
      <alignment horizontal="center"/>
    </xf>
    <xf numFmtId="0" fontId="10" fillId="0" borderId="0" xfId="275" applyFont="1" applyAlignment="1">
      <alignment horizontal="center"/>
      <protection/>
    </xf>
    <xf numFmtId="0" fontId="0" fillId="0" borderId="0" xfId="275" applyAlignment="1">
      <alignment horizontal="center"/>
      <protection/>
    </xf>
    <xf numFmtId="168" fontId="0" fillId="0" borderId="0" xfId="209" applyNumberFormat="1" applyFont="1" applyAlignment="1">
      <alignment horizontal="center"/>
    </xf>
    <xf numFmtId="164" fontId="0" fillId="0" borderId="0" xfId="0" applyNumberFormat="1" applyFont="1" applyBorder="1" applyAlignment="1">
      <alignment horizontal="center"/>
    </xf>
    <xf numFmtId="0" fontId="2" fillId="0" borderId="0" xfId="275" applyFont="1">
      <alignment/>
      <protection/>
    </xf>
    <xf numFmtId="0" fontId="2" fillId="0" borderId="34" xfId="275" applyFont="1" applyBorder="1">
      <alignment/>
      <protection/>
    </xf>
    <xf numFmtId="0" fontId="14" fillId="0" borderId="0" xfId="277" applyFont="1">
      <alignment/>
      <protection/>
    </xf>
    <xf numFmtId="0" fontId="2" fillId="0" borderId="35" xfId="275" applyFont="1" applyBorder="1">
      <alignment/>
      <protection/>
    </xf>
    <xf numFmtId="0" fontId="2" fillId="0" borderId="36" xfId="275" applyFont="1" applyBorder="1">
      <alignment/>
      <protection/>
    </xf>
    <xf numFmtId="0" fontId="2" fillId="0" borderId="37" xfId="275" applyFont="1" applyBorder="1">
      <alignment/>
      <protection/>
    </xf>
    <xf numFmtId="0" fontId="2" fillId="0" borderId="20" xfId="275" applyFont="1" applyBorder="1">
      <alignment/>
      <protection/>
    </xf>
    <xf numFmtId="0" fontId="2" fillId="0" borderId="23" xfId="275" applyFont="1" applyBorder="1">
      <alignment/>
      <protection/>
    </xf>
    <xf numFmtId="0" fontId="2" fillId="0" borderId="21" xfId="275" applyFont="1" applyBorder="1">
      <alignment/>
      <protection/>
    </xf>
    <xf numFmtId="0" fontId="2" fillId="0" borderId="0" xfId="275" applyFont="1" applyAlignment="1">
      <alignment horizontal="center"/>
      <protection/>
    </xf>
    <xf numFmtId="168" fontId="0" fillId="0" borderId="22" xfId="209" applyNumberFormat="1" applyFont="1" applyBorder="1" applyAlignment="1">
      <alignment horizontal="center"/>
    </xf>
    <xf numFmtId="165" fontId="0" fillId="0" borderId="34" xfId="275" applyNumberFormat="1" applyBorder="1" applyAlignment="1">
      <alignment horizontal="center"/>
      <protection/>
    </xf>
    <xf numFmtId="165" fontId="0" fillId="0" borderId="26" xfId="275" applyNumberFormat="1" applyBorder="1" applyAlignment="1">
      <alignment horizontal="center"/>
      <protection/>
    </xf>
    <xf numFmtId="10" fontId="0" fillId="0" borderId="0" xfId="275" applyNumberFormat="1" applyBorder="1" applyAlignment="1">
      <alignment horizontal="center"/>
      <protection/>
    </xf>
    <xf numFmtId="0" fontId="47" fillId="0" borderId="0" xfId="277" applyAlignment="1">
      <alignment horizontal="center"/>
      <protection/>
    </xf>
    <xf numFmtId="165" fontId="0" fillId="0" borderId="0" xfId="275" applyNumberFormat="1" applyAlignment="1">
      <alignment horizontal="center"/>
      <protection/>
    </xf>
    <xf numFmtId="168" fontId="0" fillId="0" borderId="20" xfId="209" applyNumberFormat="1" applyFont="1" applyBorder="1" applyAlignment="1">
      <alignment horizontal="center"/>
    </xf>
    <xf numFmtId="165" fontId="0" fillId="0" borderId="38" xfId="275" applyNumberFormat="1" applyBorder="1" applyAlignment="1">
      <alignment horizontal="center"/>
      <protection/>
    </xf>
    <xf numFmtId="165" fontId="0" fillId="0" borderId="33" xfId="275" applyNumberFormat="1" applyBorder="1" applyAlignment="1">
      <alignment horizontal="center"/>
      <protection/>
    </xf>
    <xf numFmtId="168" fontId="0" fillId="0" borderId="23" xfId="209" applyNumberFormat="1" applyFont="1" applyBorder="1" applyAlignment="1">
      <alignment horizontal="center"/>
    </xf>
    <xf numFmtId="165" fontId="0" fillId="0" borderId="39" xfId="275" applyNumberFormat="1" applyBorder="1" applyAlignment="1">
      <alignment horizontal="center"/>
      <protection/>
    </xf>
    <xf numFmtId="165" fontId="0" fillId="0" borderId="25" xfId="275" applyNumberFormat="1" applyBorder="1" applyAlignment="1">
      <alignment horizontal="center"/>
      <protection/>
    </xf>
    <xf numFmtId="168" fontId="0" fillId="0" borderId="21" xfId="209" applyNumberFormat="1" applyFont="1" applyBorder="1" applyAlignment="1">
      <alignment horizontal="center"/>
    </xf>
    <xf numFmtId="165" fontId="0" fillId="0" borderId="32" xfId="275" applyNumberFormat="1" applyBorder="1" applyAlignment="1">
      <alignment horizontal="center"/>
      <protection/>
    </xf>
    <xf numFmtId="165" fontId="0" fillId="0" borderId="31" xfId="275" applyNumberFormat="1" applyBorder="1" applyAlignment="1">
      <alignment horizontal="center"/>
      <protection/>
    </xf>
    <xf numFmtId="168" fontId="0" fillId="0" borderId="40" xfId="209" applyNumberFormat="1" applyFont="1" applyBorder="1" applyAlignment="1">
      <alignment horizontal="center"/>
    </xf>
    <xf numFmtId="168" fontId="0" fillId="0" borderId="0" xfId="209" applyNumberFormat="1" applyFont="1" applyBorder="1" applyAlignment="1">
      <alignment horizontal="center"/>
    </xf>
    <xf numFmtId="168" fontId="0" fillId="0" borderId="28" xfId="209" applyNumberFormat="1" applyFont="1" applyBorder="1" applyAlignment="1">
      <alignment horizontal="center"/>
    </xf>
    <xf numFmtId="3" fontId="0" fillId="0" borderId="0" xfId="275" applyNumberFormat="1" applyAlignment="1">
      <alignment horizontal="center"/>
      <protection/>
    </xf>
    <xf numFmtId="3" fontId="0" fillId="0" borderId="22" xfId="275" applyNumberFormat="1" applyBorder="1" applyAlignment="1">
      <alignment horizontal="center"/>
      <protection/>
    </xf>
    <xf numFmtId="3" fontId="47" fillId="0" borderId="0" xfId="277" applyNumberFormat="1" applyAlignment="1">
      <alignment horizontal="center"/>
      <protection/>
    </xf>
    <xf numFmtId="3" fontId="0" fillId="0" borderId="20" xfId="275" applyNumberFormat="1" applyBorder="1" applyAlignment="1">
      <alignment horizontal="center"/>
      <protection/>
    </xf>
    <xf numFmtId="3" fontId="0" fillId="0" borderId="23" xfId="275" applyNumberFormat="1" applyBorder="1" applyAlignment="1">
      <alignment horizontal="center"/>
      <protection/>
    </xf>
    <xf numFmtId="3" fontId="0" fillId="0" borderId="21" xfId="275" applyNumberFormat="1" applyBorder="1" applyAlignment="1">
      <alignment horizontal="center"/>
      <protection/>
    </xf>
    <xf numFmtId="3" fontId="0" fillId="0" borderId="41" xfId="275" applyNumberFormat="1" applyBorder="1" applyAlignment="1">
      <alignment horizontal="center"/>
      <protection/>
    </xf>
    <xf numFmtId="3" fontId="0" fillId="0" borderId="36" xfId="275" applyNumberFormat="1" applyBorder="1" applyAlignment="1">
      <alignment horizontal="center"/>
      <protection/>
    </xf>
    <xf numFmtId="3" fontId="0" fillId="0" borderId="37" xfId="275" applyNumberFormat="1" applyBorder="1" applyAlignment="1">
      <alignment horizontal="center"/>
      <protection/>
    </xf>
    <xf numFmtId="3" fontId="9" fillId="0" borderId="0" xfId="0" applyNumberFormat="1" applyFont="1" applyBorder="1" applyAlignment="1">
      <alignment horizontal="center"/>
    </xf>
    <xf numFmtId="3" fontId="3" fillId="0" borderId="0" xfId="0" applyNumberFormat="1" applyFont="1" applyBorder="1" applyAlignment="1">
      <alignment horizontal="center"/>
    </xf>
    <xf numFmtId="3" fontId="4" fillId="0" borderId="0" xfId="0" applyNumberFormat="1" applyFont="1" applyBorder="1" applyAlignment="1">
      <alignment horizontal="center"/>
    </xf>
    <xf numFmtId="3" fontId="0" fillId="0" borderId="0" xfId="0" applyNumberFormat="1" applyFont="1" applyBorder="1" applyAlignment="1">
      <alignment horizontal="center"/>
    </xf>
    <xf numFmtId="3" fontId="5" fillId="0" borderId="0" xfId="0" applyNumberFormat="1" applyFont="1" applyBorder="1" applyAlignment="1">
      <alignment horizontal="center"/>
    </xf>
    <xf numFmtId="168" fontId="0" fillId="0" borderId="34" xfId="209" applyNumberFormat="1" applyFont="1" applyBorder="1" applyAlignment="1">
      <alignment horizontal="center"/>
    </xf>
    <xf numFmtId="165" fontId="0" fillId="0" borderId="42" xfId="275" applyNumberFormat="1" applyBorder="1" applyAlignment="1">
      <alignment horizontal="center"/>
      <protection/>
    </xf>
    <xf numFmtId="168" fontId="0" fillId="0" borderId="38" xfId="209" applyNumberFormat="1" applyFont="1" applyBorder="1" applyAlignment="1">
      <alignment horizontal="center"/>
    </xf>
    <xf numFmtId="168" fontId="0" fillId="0" borderId="39" xfId="209" applyNumberFormat="1" applyFont="1" applyBorder="1" applyAlignment="1">
      <alignment horizontal="center"/>
    </xf>
    <xf numFmtId="168" fontId="0" fillId="0" borderId="32" xfId="209" applyNumberFormat="1" applyFont="1" applyBorder="1" applyAlignment="1">
      <alignment horizontal="center"/>
    </xf>
    <xf numFmtId="3" fontId="0" fillId="0" borderId="43" xfId="275" applyNumberFormat="1" applyBorder="1" applyAlignment="1">
      <alignment horizontal="center"/>
      <protection/>
    </xf>
    <xf numFmtId="3" fontId="0" fillId="0" borderId="44" xfId="275" applyNumberFormat="1" applyBorder="1" applyAlignment="1">
      <alignment horizontal="center"/>
      <protection/>
    </xf>
    <xf numFmtId="3" fontId="0" fillId="0" borderId="35" xfId="275" applyNumberFormat="1" applyBorder="1" applyAlignment="1">
      <alignment horizontal="center"/>
      <protection/>
    </xf>
    <xf numFmtId="3" fontId="0" fillId="0" borderId="34" xfId="275" applyNumberFormat="1" applyBorder="1" applyAlignment="1">
      <alignment horizontal="center"/>
      <protection/>
    </xf>
    <xf numFmtId="3" fontId="0" fillId="0" borderId="20" xfId="206" applyNumberFormat="1" applyFont="1" applyBorder="1" applyAlignment="1">
      <alignment horizontal="center"/>
    </xf>
    <xf numFmtId="3" fontId="0" fillId="0" borderId="23" xfId="206" applyNumberFormat="1" applyFont="1" applyBorder="1" applyAlignment="1">
      <alignment horizontal="center"/>
    </xf>
    <xf numFmtId="3" fontId="0" fillId="0" borderId="21" xfId="206" applyNumberFormat="1" applyFont="1" applyBorder="1" applyAlignment="1">
      <alignment horizontal="center"/>
    </xf>
    <xf numFmtId="3" fontId="0" fillId="0" borderId="0" xfId="0" applyNumberFormat="1" applyFont="1" applyAlignment="1">
      <alignment horizontal="left"/>
    </xf>
    <xf numFmtId="165" fontId="0" fillId="0" borderId="0" xfId="0" applyNumberFormat="1" applyFont="1" applyAlignment="1">
      <alignment horizontal="left"/>
    </xf>
    <xf numFmtId="0" fontId="0" fillId="0" borderId="0" xfId="0" applyFont="1" applyAlignment="1">
      <alignment/>
    </xf>
    <xf numFmtId="3" fontId="0" fillId="0" borderId="0" xfId="0" applyNumberFormat="1" applyFont="1" applyAlignment="1">
      <alignment/>
    </xf>
    <xf numFmtId="165" fontId="0" fillId="0" borderId="0" xfId="0" applyNumberFormat="1" applyFont="1" applyAlignment="1">
      <alignment/>
    </xf>
    <xf numFmtId="0" fontId="0" fillId="0" borderId="0" xfId="0" applyFont="1" applyBorder="1" applyAlignment="1">
      <alignment/>
    </xf>
    <xf numFmtId="165" fontId="0" fillId="0" borderId="0" xfId="0" applyNumberFormat="1" applyFont="1" applyAlignment="1">
      <alignment horizontal="centerContinuous"/>
    </xf>
    <xf numFmtId="0" fontId="0" fillId="0" borderId="0" xfId="0" applyFont="1" applyAlignment="1">
      <alignment horizontal="centerContinuous"/>
    </xf>
    <xf numFmtId="3" fontId="0" fillId="0" borderId="0" xfId="0" applyNumberFormat="1" applyFont="1" applyAlignment="1">
      <alignment horizontal="centerContinuous"/>
    </xf>
    <xf numFmtId="165" fontId="0" fillId="0" borderId="0" xfId="0" applyNumberFormat="1" applyFont="1" applyAlignment="1">
      <alignment horizontal="center"/>
    </xf>
    <xf numFmtId="0" fontId="0" fillId="0" borderId="0" xfId="0" applyFont="1" applyBorder="1" applyAlignment="1">
      <alignment horizontal="center"/>
    </xf>
    <xf numFmtId="0" fontId="0" fillId="0" borderId="0" xfId="0" applyFont="1" applyAlignment="1">
      <alignment horizontal="center"/>
    </xf>
    <xf numFmtId="3" fontId="0" fillId="0" borderId="0" xfId="0" applyNumberFormat="1" applyFont="1" applyAlignment="1">
      <alignment horizontal="center"/>
    </xf>
    <xf numFmtId="0" fontId="2" fillId="0" borderId="20" xfId="0" applyFont="1" applyBorder="1" applyAlignment="1">
      <alignment horizontal="left"/>
    </xf>
    <xf numFmtId="3" fontId="0" fillId="0" borderId="40" xfId="0" applyNumberFormat="1" applyFont="1" applyBorder="1" applyAlignment="1">
      <alignment horizontal="center"/>
    </xf>
    <xf numFmtId="165" fontId="0" fillId="0" borderId="40" xfId="0" applyNumberFormat="1" applyFont="1" applyBorder="1" applyAlignment="1">
      <alignment horizontal="center"/>
    </xf>
    <xf numFmtId="0" fontId="0" fillId="0" borderId="40" xfId="0" applyFont="1" applyBorder="1" applyAlignment="1">
      <alignment horizontal="center"/>
    </xf>
    <xf numFmtId="165" fontId="0" fillId="0" borderId="33" xfId="0" applyNumberFormat="1" applyFont="1" applyBorder="1" applyAlignment="1">
      <alignment horizontal="center"/>
    </xf>
    <xf numFmtId="0" fontId="2" fillId="0" borderId="23" xfId="0" applyFont="1" applyBorder="1" applyAlignment="1">
      <alignment horizontal="left"/>
    </xf>
    <xf numFmtId="3" fontId="0" fillId="0" borderId="0" xfId="0" applyNumberFormat="1" applyFont="1" applyBorder="1" applyAlignment="1">
      <alignment horizontal="center"/>
    </xf>
    <xf numFmtId="165" fontId="0" fillId="0" borderId="0" xfId="0" applyNumberFormat="1" applyFont="1" applyBorder="1" applyAlignment="1">
      <alignment horizontal="center"/>
    </xf>
    <xf numFmtId="165" fontId="0" fillId="0" borderId="25" xfId="0" applyNumberFormat="1" applyFont="1" applyBorder="1" applyAlignment="1">
      <alignment horizontal="center"/>
    </xf>
    <xf numFmtId="165" fontId="0" fillId="0" borderId="0" xfId="298" applyNumberFormat="1" applyFont="1" applyBorder="1" applyAlignment="1">
      <alignment horizontal="center"/>
    </xf>
    <xf numFmtId="165" fontId="0" fillId="0" borderId="25" xfId="298" applyNumberFormat="1" applyFont="1" applyBorder="1" applyAlignment="1">
      <alignment horizontal="center"/>
    </xf>
    <xf numFmtId="0" fontId="2" fillId="0" borderId="21" xfId="0" applyFont="1" applyBorder="1" applyAlignment="1">
      <alignment horizontal="left"/>
    </xf>
    <xf numFmtId="3" fontId="0" fillId="0" borderId="28" xfId="0" applyNumberFormat="1" applyFont="1" applyBorder="1" applyAlignment="1">
      <alignment horizontal="center"/>
    </xf>
    <xf numFmtId="165" fontId="0" fillId="0" borderId="28" xfId="298" applyNumberFormat="1" applyFont="1" applyBorder="1" applyAlignment="1">
      <alignment horizontal="center"/>
    </xf>
    <xf numFmtId="0" fontId="0" fillId="0" borderId="28" xfId="0" applyFont="1" applyBorder="1" applyAlignment="1">
      <alignment horizontal="center"/>
    </xf>
    <xf numFmtId="165" fontId="0" fillId="0" borderId="31" xfId="298" applyNumberFormat="1" applyFont="1" applyBorder="1" applyAlignment="1">
      <alignment horizontal="center"/>
    </xf>
    <xf numFmtId="165" fontId="0" fillId="0" borderId="40" xfId="298" applyNumberFormat="1" applyFont="1" applyBorder="1" applyAlignment="1">
      <alignment horizontal="center"/>
    </xf>
    <xf numFmtId="165" fontId="0" fillId="0" borderId="28" xfId="0" applyNumberFormat="1" applyFont="1" applyBorder="1" applyAlignment="1">
      <alignment horizontal="center"/>
    </xf>
    <xf numFmtId="165" fontId="0" fillId="0" borderId="31" xfId="0" applyNumberFormat="1" applyFont="1" applyBorder="1" applyAlignment="1">
      <alignment horizontal="center"/>
    </xf>
    <xf numFmtId="0" fontId="2" fillId="0" borderId="20" xfId="0" applyFont="1" applyBorder="1" applyAlignment="1">
      <alignment horizontal="left" wrapText="1"/>
    </xf>
    <xf numFmtId="0" fontId="2" fillId="0" borderId="23" xfId="0" applyFont="1" applyBorder="1" applyAlignment="1">
      <alignment horizontal="left" wrapText="1"/>
    </xf>
    <xf numFmtId="0" fontId="2" fillId="0" borderId="21" xfId="0" applyFont="1" applyBorder="1" applyAlignment="1">
      <alignment horizontal="left" wrapText="1"/>
    </xf>
    <xf numFmtId="0" fontId="0" fillId="0" borderId="0" xfId="0" applyFont="1" applyBorder="1" applyAlignment="1">
      <alignment horizontal="centerContinuous"/>
    </xf>
    <xf numFmtId="0" fontId="0" fillId="0" borderId="0" xfId="0" applyFont="1" applyBorder="1" applyAlignment="1">
      <alignment horizontal="center" wrapText="1"/>
    </xf>
    <xf numFmtId="0" fontId="0" fillId="0" borderId="0" xfId="0" applyFont="1" applyAlignment="1">
      <alignment horizontal="center" wrapText="1"/>
    </xf>
    <xf numFmtId="0" fontId="0" fillId="0" borderId="28" xfId="0" applyFont="1" applyBorder="1" applyAlignment="1">
      <alignment horizontal="center" wrapText="1"/>
    </xf>
    <xf numFmtId="164" fontId="0" fillId="0" borderId="0" xfId="0" applyNumberFormat="1" applyFont="1" applyBorder="1" applyAlignment="1">
      <alignment/>
    </xf>
    <xf numFmtId="0" fontId="2" fillId="0" borderId="28" xfId="0" applyFont="1" applyBorder="1" applyAlignment="1">
      <alignment horizontal="center" wrapText="1"/>
    </xf>
    <xf numFmtId="164" fontId="2" fillId="0" borderId="0" xfId="0" applyNumberFormat="1" applyFont="1" applyBorder="1" applyAlignment="1">
      <alignment horizontal="center" wrapText="1"/>
    </xf>
    <xf numFmtId="9" fontId="2" fillId="0" borderId="0" xfId="298" applyFont="1" applyBorder="1" applyAlignment="1">
      <alignment horizontal="center" wrapText="1"/>
    </xf>
    <xf numFmtId="0" fontId="0" fillId="0" borderId="22" xfId="0" applyFont="1" applyBorder="1" applyAlignment="1">
      <alignment/>
    </xf>
    <xf numFmtId="165" fontId="2" fillId="0" borderId="26" xfId="298" applyNumberFormat="1" applyFont="1" applyFill="1" applyBorder="1" applyAlignment="1">
      <alignment horizontal="center"/>
    </xf>
    <xf numFmtId="165" fontId="2" fillId="0" borderId="0" xfId="0" applyNumberFormat="1" applyFont="1" applyBorder="1" applyAlignment="1">
      <alignment horizontal="center" wrapText="1"/>
    </xf>
    <xf numFmtId="168" fontId="2" fillId="0" borderId="0" xfId="207" applyNumberFormat="1" applyFont="1" applyBorder="1" applyAlignment="1">
      <alignment horizontal="center" wrapText="1"/>
    </xf>
    <xf numFmtId="3" fontId="2" fillId="0" borderId="0" xfId="0" applyNumberFormat="1" applyFont="1" applyBorder="1" applyAlignment="1">
      <alignment horizontal="center" wrapText="1"/>
    </xf>
    <xf numFmtId="3" fontId="0" fillId="0" borderId="40" xfId="0" applyNumberFormat="1" applyFont="1" applyFill="1" applyBorder="1" applyAlignment="1">
      <alignment horizontal="center"/>
    </xf>
    <xf numFmtId="165" fontId="0" fillId="0" borderId="40" xfId="0" applyNumberFormat="1" applyFont="1" applyFill="1" applyBorder="1" applyAlignment="1">
      <alignment horizontal="center"/>
    </xf>
    <xf numFmtId="168" fontId="0" fillId="0" borderId="40" xfId="207" applyNumberFormat="1" applyFont="1" applyFill="1" applyBorder="1" applyAlignment="1">
      <alignment horizontal="center"/>
    </xf>
    <xf numFmtId="165" fontId="0" fillId="0" borderId="40" xfId="298" applyNumberFormat="1" applyFont="1" applyFill="1" applyBorder="1" applyAlignment="1">
      <alignment horizontal="center"/>
    </xf>
    <xf numFmtId="165" fontId="0" fillId="0" borderId="33" xfId="298" applyNumberFormat="1" applyFont="1" applyFill="1" applyBorder="1" applyAlignment="1">
      <alignment horizontal="center"/>
    </xf>
    <xf numFmtId="165" fontId="0" fillId="0" borderId="0" xfId="298" applyNumberFormat="1" applyFont="1" applyAlignment="1">
      <alignment/>
    </xf>
    <xf numFmtId="168" fontId="0" fillId="0" borderId="28" xfId="207" applyNumberFormat="1" applyFont="1" applyBorder="1" applyAlignment="1">
      <alignment horizontal="center"/>
    </xf>
    <xf numFmtId="0" fontId="2" fillId="0" borderId="0" xfId="0" applyFont="1" applyBorder="1" applyAlignment="1">
      <alignment horizontal="left"/>
    </xf>
    <xf numFmtId="168" fontId="0" fillId="0" borderId="0" xfId="207" applyNumberFormat="1" applyFont="1" applyBorder="1" applyAlignment="1">
      <alignment horizontal="center"/>
    </xf>
    <xf numFmtId="9" fontId="0" fillId="0" borderId="0" xfId="0" applyNumberFormat="1" applyFont="1" applyBorder="1" applyAlignment="1">
      <alignment horizontal="center"/>
    </xf>
    <xf numFmtId="9" fontId="0" fillId="0" borderId="0" xfId="298" applyFont="1" applyBorder="1" applyAlignment="1">
      <alignment horizontal="center"/>
    </xf>
    <xf numFmtId="9" fontId="0" fillId="0" borderId="0" xfId="298" applyFont="1" applyAlignment="1">
      <alignment horizontal="center"/>
    </xf>
    <xf numFmtId="0" fontId="6" fillId="0" borderId="0" xfId="0" applyFont="1" applyBorder="1" applyAlignment="1">
      <alignment horizontal="centerContinuous"/>
    </xf>
    <xf numFmtId="0" fontId="6" fillId="0" borderId="0" xfId="0" applyFont="1" applyBorder="1" applyAlignment="1">
      <alignment horizontal="centerContinuous" wrapText="1"/>
    </xf>
    <xf numFmtId="165" fontId="6" fillId="0" borderId="0" xfId="0" applyNumberFormat="1" applyFont="1" applyBorder="1" applyAlignment="1">
      <alignment horizontal="centerContinuous" wrapText="1"/>
    </xf>
    <xf numFmtId="168" fontId="6" fillId="0" borderId="0" xfId="207" applyNumberFormat="1" applyFont="1" applyBorder="1" applyAlignment="1">
      <alignment horizontal="centerContinuous" wrapText="1"/>
    </xf>
    <xf numFmtId="0" fontId="2" fillId="0" borderId="20" xfId="0" applyFont="1" applyBorder="1" applyAlignment="1">
      <alignment/>
    </xf>
    <xf numFmtId="168" fontId="0" fillId="0" borderId="40" xfId="207" applyNumberFormat="1" applyFont="1" applyBorder="1" applyAlignment="1">
      <alignment horizontal="center"/>
    </xf>
    <xf numFmtId="0" fontId="2" fillId="0" borderId="23" xfId="0" applyFont="1" applyBorder="1" applyAlignment="1">
      <alignment/>
    </xf>
    <xf numFmtId="3" fontId="0" fillId="0" borderId="0" xfId="298" applyNumberFormat="1" applyFont="1" applyBorder="1" applyAlignment="1">
      <alignment horizontal="center"/>
    </xf>
    <xf numFmtId="0" fontId="2" fillId="0" borderId="21" xfId="0" applyFont="1" applyBorder="1" applyAlignment="1">
      <alignment/>
    </xf>
    <xf numFmtId="0" fontId="2" fillId="0" borderId="40" xfId="0" applyFont="1" applyBorder="1" applyAlignment="1">
      <alignment/>
    </xf>
    <xf numFmtId="9" fontId="0" fillId="0" borderId="40" xfId="298" applyFont="1" applyBorder="1" applyAlignment="1">
      <alignment horizontal="center"/>
    </xf>
    <xf numFmtId="165" fontId="0" fillId="0" borderId="33" xfId="298" applyNumberFormat="1" applyFont="1" applyBorder="1" applyAlignment="1">
      <alignment horizontal="center"/>
    </xf>
    <xf numFmtId="37" fontId="0" fillId="0" borderId="28" xfId="204" applyNumberFormat="1" applyFont="1" applyBorder="1" applyAlignment="1">
      <alignment horizontal="center"/>
    </xf>
    <xf numFmtId="0" fontId="2" fillId="0" borderId="0" xfId="0" applyFont="1" applyBorder="1" applyAlignment="1">
      <alignment/>
    </xf>
    <xf numFmtId="165" fontId="0" fillId="0" borderId="0" xfId="298" applyNumberFormat="1" applyFont="1" applyAlignment="1">
      <alignment horizontal="center"/>
    </xf>
    <xf numFmtId="0" fontId="2" fillId="0" borderId="0" xfId="0" applyFont="1" applyBorder="1" applyAlignment="1">
      <alignment horizontal="centerContinuous" wrapText="1"/>
    </xf>
    <xf numFmtId="165" fontId="2" fillId="0" borderId="0" xfId="0" applyNumberFormat="1" applyFont="1" applyBorder="1" applyAlignment="1">
      <alignment horizontal="centerContinuous" wrapText="1"/>
    </xf>
    <xf numFmtId="168" fontId="2" fillId="0" borderId="0" xfId="207" applyNumberFormat="1" applyFont="1" applyBorder="1" applyAlignment="1">
      <alignment horizontal="centerContinuous" wrapText="1"/>
    </xf>
    <xf numFmtId="3" fontId="0" fillId="0" borderId="0" xfId="0" applyNumberFormat="1" applyFont="1" applyBorder="1" applyAlignment="1">
      <alignment/>
    </xf>
    <xf numFmtId="165" fontId="0" fillId="0" borderId="0" xfId="0" applyNumberFormat="1" applyFont="1" applyBorder="1" applyAlignment="1">
      <alignment/>
    </xf>
    <xf numFmtId="168" fontId="0" fillId="0" borderId="0" xfId="207" applyNumberFormat="1" applyFont="1" applyBorder="1" applyAlignment="1">
      <alignment/>
    </xf>
    <xf numFmtId="165" fontId="0" fillId="0" borderId="0" xfId="298" applyNumberFormat="1" applyFont="1" applyBorder="1" applyAlignment="1">
      <alignment/>
    </xf>
    <xf numFmtId="168" fontId="0" fillId="0" borderId="40" xfId="207" applyNumberFormat="1" applyFont="1" applyBorder="1" applyAlignment="1">
      <alignment/>
    </xf>
    <xf numFmtId="168" fontId="0" fillId="0" borderId="28" xfId="207" applyNumberFormat="1" applyFont="1" applyBorder="1" applyAlignment="1">
      <alignment/>
    </xf>
    <xf numFmtId="0" fontId="0" fillId="0" borderId="0" xfId="276" applyFont="1">
      <alignment/>
      <protection/>
    </xf>
    <xf numFmtId="0" fontId="0" fillId="0" borderId="0" xfId="276" applyFont="1" applyBorder="1">
      <alignment/>
      <protection/>
    </xf>
    <xf numFmtId="164" fontId="0" fillId="0" borderId="0" xfId="276" applyNumberFormat="1" applyFont="1" applyBorder="1">
      <alignment/>
      <protection/>
    </xf>
    <xf numFmtId="0" fontId="0" fillId="0" borderId="0" xfId="276" applyFont="1" applyAlignment="1">
      <alignment horizontal="center"/>
      <protection/>
    </xf>
    <xf numFmtId="0" fontId="2" fillId="0" borderId="0" xfId="276" applyFont="1" applyBorder="1" applyAlignment="1">
      <alignment horizontal="center" wrapText="1"/>
      <protection/>
    </xf>
    <xf numFmtId="164" fontId="2" fillId="0" borderId="0" xfId="276" applyNumberFormat="1" applyFont="1" applyBorder="1" applyAlignment="1">
      <alignment horizontal="center" wrapText="1"/>
      <protection/>
    </xf>
    <xf numFmtId="0" fontId="0" fillId="0" borderId="22" xfId="276" applyFont="1" applyBorder="1">
      <alignment/>
      <protection/>
    </xf>
    <xf numFmtId="0" fontId="0" fillId="0" borderId="0" xfId="274" applyFont="1" applyBorder="1">
      <alignment/>
      <protection/>
    </xf>
    <xf numFmtId="0" fontId="0" fillId="0" borderId="35" xfId="0" applyFont="1" applyBorder="1" applyAlignment="1">
      <alignment/>
    </xf>
    <xf numFmtId="0" fontId="0" fillId="0" borderId="45" xfId="0" applyFont="1" applyBorder="1" applyAlignment="1">
      <alignment/>
    </xf>
    <xf numFmtId="0" fontId="0" fillId="0" borderId="46" xfId="0" applyFont="1" applyBorder="1" applyAlignment="1">
      <alignment/>
    </xf>
    <xf numFmtId="0" fontId="0" fillId="0" borderId="47" xfId="0" applyFont="1" applyBorder="1" applyAlignment="1">
      <alignment/>
    </xf>
    <xf numFmtId="0" fontId="0" fillId="0" borderId="35" xfId="0" applyNumberFormat="1" applyFont="1" applyBorder="1" applyAlignment="1">
      <alignment/>
    </xf>
    <xf numFmtId="0" fontId="0" fillId="0" borderId="46" xfId="0" applyNumberFormat="1" applyFont="1" applyBorder="1" applyAlignment="1">
      <alignment/>
    </xf>
    <xf numFmtId="0" fontId="0" fillId="0" borderId="48" xfId="0" applyFont="1" applyBorder="1" applyAlignment="1">
      <alignment/>
    </xf>
    <xf numFmtId="0" fontId="0" fillId="0" borderId="36" xfId="0" applyFont="1" applyBorder="1" applyAlignment="1">
      <alignment/>
    </xf>
    <xf numFmtId="0" fontId="0" fillId="0" borderId="36" xfId="0" applyNumberFormat="1" applyFont="1" applyBorder="1" applyAlignment="1">
      <alignment/>
    </xf>
    <xf numFmtId="0" fontId="0" fillId="0" borderId="0" xfId="0" applyNumberFormat="1" applyFont="1" applyAlignment="1">
      <alignment/>
    </xf>
    <xf numFmtId="0" fontId="0" fillId="0" borderId="48" xfId="0" applyNumberFormat="1" applyFont="1" applyBorder="1" applyAlignment="1">
      <alignment/>
    </xf>
    <xf numFmtId="0" fontId="0" fillId="0" borderId="49" xfId="0" applyNumberFormat="1" applyFont="1" applyBorder="1" applyAlignment="1">
      <alignment/>
    </xf>
    <xf numFmtId="165" fontId="0" fillId="0" borderId="20" xfId="298" applyNumberFormat="1" applyFont="1" applyBorder="1" applyAlignment="1">
      <alignment horizontal="center" vertical="center" wrapText="1"/>
    </xf>
    <xf numFmtId="165" fontId="0" fillId="0" borderId="0" xfId="298" applyNumberFormat="1" applyFont="1" applyBorder="1" applyAlignment="1">
      <alignment horizontal="center" vertical="center" wrapText="1"/>
    </xf>
    <xf numFmtId="165" fontId="0" fillId="0" borderId="38" xfId="298" applyNumberFormat="1" applyFont="1" applyBorder="1" applyAlignment="1">
      <alignment horizontal="center" vertical="center" wrapText="1"/>
    </xf>
    <xf numFmtId="168" fontId="0" fillId="0" borderId="0" xfId="207" applyNumberFormat="1" applyFont="1" applyBorder="1" applyAlignment="1">
      <alignment horizontal="center" vertical="center" wrapText="1"/>
    </xf>
    <xf numFmtId="165" fontId="0" fillId="0" borderId="0" xfId="299" applyNumberFormat="1" applyFont="1" applyFill="1" applyBorder="1" applyAlignment="1">
      <alignment horizontal="center" vertical="center"/>
    </xf>
    <xf numFmtId="167" fontId="0" fillId="0" borderId="0" xfId="204" applyNumberFormat="1" applyFont="1" applyBorder="1" applyAlignment="1">
      <alignment/>
    </xf>
    <xf numFmtId="165" fontId="0" fillId="0" borderId="0" xfId="299" applyNumberFormat="1" applyFont="1" applyBorder="1" applyAlignment="1">
      <alignment horizontal="center"/>
    </xf>
    <xf numFmtId="165" fontId="0" fillId="0" borderId="23" xfId="298" applyNumberFormat="1" applyFont="1" applyBorder="1" applyAlignment="1">
      <alignment horizontal="center" vertical="center" wrapText="1"/>
    </xf>
    <xf numFmtId="165" fontId="0" fillId="0" borderId="39" xfId="298" applyNumberFormat="1" applyFont="1" applyBorder="1" applyAlignment="1">
      <alignment horizontal="center" vertical="center" wrapText="1"/>
    </xf>
    <xf numFmtId="165" fontId="0" fillId="0" borderId="0" xfId="274" applyNumberFormat="1" applyFont="1" applyBorder="1" applyAlignment="1">
      <alignment horizontal="center"/>
      <protection/>
    </xf>
    <xf numFmtId="0" fontId="0" fillId="0" borderId="0" xfId="0" applyNumberFormat="1" applyFont="1" applyBorder="1" applyAlignment="1">
      <alignment/>
    </xf>
    <xf numFmtId="0" fontId="0" fillId="0" borderId="43" xfId="0" applyFont="1" applyBorder="1" applyAlignment="1">
      <alignment/>
    </xf>
    <xf numFmtId="0" fontId="0" fillId="0" borderId="43" xfId="0" applyNumberFormat="1" applyFont="1" applyBorder="1" applyAlignment="1">
      <alignment/>
    </xf>
    <xf numFmtId="0" fontId="0" fillId="0" borderId="44" xfId="0" applyNumberFormat="1" applyFont="1" applyBorder="1" applyAlignment="1">
      <alignment/>
    </xf>
    <xf numFmtId="0" fontId="0" fillId="0" borderId="24" xfId="0" applyNumberFormat="1" applyFont="1" applyBorder="1" applyAlignment="1">
      <alignment/>
    </xf>
    <xf numFmtId="165" fontId="0" fillId="0" borderId="50" xfId="298" applyNumberFormat="1" applyFont="1" applyBorder="1" applyAlignment="1">
      <alignment horizontal="center" vertical="center" wrapText="1"/>
    </xf>
    <xf numFmtId="165" fontId="0" fillId="0" borderId="27" xfId="298" applyNumberFormat="1" applyFont="1" applyBorder="1" applyAlignment="1">
      <alignment horizontal="center" vertical="center" wrapText="1"/>
    </xf>
    <xf numFmtId="165" fontId="0" fillId="0" borderId="51" xfId="298" applyNumberFormat="1" applyFont="1" applyBorder="1" applyAlignment="1">
      <alignment horizontal="center" vertical="center" wrapText="1"/>
    </xf>
    <xf numFmtId="0" fontId="2" fillId="0" borderId="52" xfId="274" applyFont="1" applyBorder="1" applyAlignment="1">
      <alignment horizontal="center" vertical="center" wrapText="1"/>
      <protection/>
    </xf>
    <xf numFmtId="165" fontId="0" fillId="0" borderId="27" xfId="299" applyNumberFormat="1" applyFont="1" applyFill="1" applyBorder="1" applyAlignment="1">
      <alignment horizontal="center" vertical="center"/>
    </xf>
    <xf numFmtId="165" fontId="0" fillId="0" borderId="39" xfId="299" applyNumberFormat="1" applyFont="1" applyFill="1" applyBorder="1" applyAlignment="1">
      <alignment horizontal="center" vertical="center"/>
    </xf>
    <xf numFmtId="0" fontId="0" fillId="0" borderId="0" xfId="0" applyFont="1" applyFill="1" applyBorder="1" applyAlignment="1">
      <alignment/>
    </xf>
    <xf numFmtId="0" fontId="0" fillId="0" borderId="0" xfId="274" applyFont="1" applyFill="1" applyBorder="1">
      <alignment/>
      <protection/>
    </xf>
    <xf numFmtId="0" fontId="0" fillId="0" borderId="0" xfId="0" applyFont="1" applyFill="1" applyAlignment="1">
      <alignment/>
    </xf>
    <xf numFmtId="0" fontId="0" fillId="0" borderId="35" xfId="0" applyFont="1" applyFill="1" applyBorder="1" applyAlignment="1">
      <alignment/>
    </xf>
    <xf numFmtId="0" fontId="0" fillId="0" borderId="36" xfId="0" applyFont="1" applyFill="1" applyBorder="1" applyAlignment="1">
      <alignment/>
    </xf>
    <xf numFmtId="0" fontId="0" fillId="0" borderId="0" xfId="0" applyNumberFormat="1" applyFont="1" applyFill="1" applyBorder="1" applyAlignment="1">
      <alignment/>
    </xf>
    <xf numFmtId="0" fontId="0" fillId="0" borderId="43" xfId="0" applyFont="1" applyFill="1" applyBorder="1" applyAlignment="1">
      <alignment/>
    </xf>
    <xf numFmtId="0" fontId="0" fillId="0" borderId="46" xfId="0" applyFont="1" applyFill="1" applyBorder="1" applyAlignment="1">
      <alignment/>
    </xf>
    <xf numFmtId="165" fontId="0" fillId="0" borderId="51" xfId="299" applyNumberFormat="1" applyFont="1" applyFill="1" applyBorder="1" applyAlignment="1">
      <alignment horizontal="center" vertical="center"/>
    </xf>
    <xf numFmtId="165" fontId="0" fillId="0" borderId="23" xfId="299" applyNumberFormat="1" applyFont="1" applyFill="1" applyBorder="1" applyAlignment="1">
      <alignment horizontal="center"/>
    </xf>
    <xf numFmtId="165" fontId="0" fillId="0" borderId="0" xfId="299" applyNumberFormat="1" applyFont="1" applyFill="1" applyBorder="1" applyAlignment="1">
      <alignment horizontal="center"/>
    </xf>
    <xf numFmtId="165" fontId="0" fillId="0" borderId="0" xfId="298" applyNumberFormat="1" applyFont="1" applyFill="1" applyBorder="1" applyAlignment="1">
      <alignment horizontal="center"/>
    </xf>
    <xf numFmtId="165" fontId="0" fillId="0" borderId="38" xfId="299" applyNumberFormat="1" applyFont="1" applyFill="1" applyBorder="1" applyAlignment="1">
      <alignment horizontal="center"/>
    </xf>
    <xf numFmtId="165" fontId="0" fillId="0" borderId="39" xfId="299" applyNumberFormat="1" applyFont="1" applyFill="1" applyBorder="1" applyAlignment="1">
      <alignment horizontal="center"/>
    </xf>
    <xf numFmtId="165" fontId="0" fillId="0" borderId="50" xfId="299" applyNumberFormat="1" applyFont="1" applyFill="1" applyBorder="1" applyAlignment="1">
      <alignment horizontal="center"/>
    </xf>
    <xf numFmtId="165" fontId="0" fillId="0" borderId="27" xfId="299" applyNumberFormat="1" applyFont="1" applyFill="1" applyBorder="1" applyAlignment="1">
      <alignment horizontal="center"/>
    </xf>
    <xf numFmtId="165" fontId="0" fillId="0" borderId="27" xfId="298" applyNumberFormat="1" applyFont="1" applyFill="1" applyBorder="1" applyAlignment="1">
      <alignment horizontal="center"/>
    </xf>
    <xf numFmtId="165" fontId="0" fillId="0" borderId="51" xfId="299" applyNumberFormat="1" applyFont="1" applyFill="1" applyBorder="1" applyAlignment="1">
      <alignment horizontal="center"/>
    </xf>
    <xf numFmtId="165" fontId="0" fillId="0" borderId="53" xfId="298" applyNumberFormat="1" applyFont="1" applyBorder="1" applyAlignment="1">
      <alignment horizontal="center"/>
    </xf>
    <xf numFmtId="165" fontId="0" fillId="0" borderId="30" xfId="298" applyNumberFormat="1" applyFont="1" applyBorder="1" applyAlignment="1">
      <alignment horizontal="center"/>
    </xf>
    <xf numFmtId="165" fontId="0" fillId="0" borderId="54" xfId="298" applyNumberFormat="1" applyFont="1" applyBorder="1" applyAlignment="1">
      <alignment/>
    </xf>
    <xf numFmtId="165" fontId="0" fillId="0" borderId="53" xfId="274" applyNumberFormat="1" applyFont="1" applyFill="1" applyBorder="1" applyAlignment="1">
      <alignment horizontal="center"/>
      <protection/>
    </xf>
    <xf numFmtId="165" fontId="0" fillId="0" borderId="30" xfId="274" applyNumberFormat="1" applyFont="1" applyFill="1" applyBorder="1" applyAlignment="1">
      <alignment horizontal="center"/>
      <protection/>
    </xf>
    <xf numFmtId="165" fontId="0" fillId="0" borderId="54" xfId="274" applyNumberFormat="1" applyFont="1" applyFill="1" applyBorder="1" applyAlignment="1">
      <alignment horizontal="center"/>
      <protection/>
    </xf>
    <xf numFmtId="165" fontId="0" fillId="0" borderId="0" xfId="274" applyNumberFormat="1" applyFont="1" applyFill="1" applyBorder="1" applyAlignment="1">
      <alignment horizontal="center"/>
      <protection/>
    </xf>
    <xf numFmtId="165" fontId="0" fillId="0" borderId="54" xfId="298" applyNumberFormat="1" applyFont="1" applyBorder="1" applyAlignment="1">
      <alignment horizontal="center"/>
    </xf>
    <xf numFmtId="9" fontId="0" fillId="0" borderId="0" xfId="298" applyFont="1" applyFill="1" applyBorder="1" applyAlignment="1">
      <alignment horizontal="center"/>
    </xf>
    <xf numFmtId="37" fontId="0" fillId="0" borderId="20" xfId="204" applyNumberFormat="1" applyFont="1" applyFill="1" applyBorder="1" applyAlignment="1">
      <alignment horizontal="center" vertical="center"/>
    </xf>
    <xf numFmtId="37" fontId="0" fillId="0" borderId="40" xfId="204" applyNumberFormat="1" applyFont="1" applyFill="1" applyBorder="1" applyAlignment="1">
      <alignment horizontal="center" vertical="center"/>
    </xf>
    <xf numFmtId="37" fontId="0" fillId="0" borderId="38" xfId="204" applyNumberFormat="1" applyFont="1" applyFill="1" applyBorder="1" applyAlignment="1">
      <alignment horizontal="center" vertical="center"/>
    </xf>
    <xf numFmtId="37" fontId="0" fillId="0" borderId="20" xfId="204" applyNumberFormat="1" applyFont="1" applyBorder="1" applyAlignment="1">
      <alignment horizontal="center"/>
    </xf>
    <xf numFmtId="37" fontId="0" fillId="0" borderId="40" xfId="204" applyNumberFormat="1" applyFont="1" applyBorder="1" applyAlignment="1">
      <alignment horizontal="center"/>
    </xf>
    <xf numFmtId="37" fontId="0" fillId="0" borderId="38" xfId="204" applyNumberFormat="1" applyFont="1" applyBorder="1" applyAlignment="1">
      <alignment horizontal="center"/>
    </xf>
    <xf numFmtId="37" fontId="0" fillId="0" borderId="23" xfId="204" applyNumberFormat="1" applyFont="1" applyFill="1" applyBorder="1" applyAlignment="1">
      <alignment horizontal="center" vertical="center"/>
    </xf>
    <xf numFmtId="37" fontId="0" fillId="0" borderId="0" xfId="204" applyNumberFormat="1" applyFont="1" applyFill="1" applyBorder="1" applyAlignment="1">
      <alignment horizontal="center" vertical="center"/>
    </xf>
    <xf numFmtId="37" fontId="0" fillId="0" borderId="39" xfId="204" applyNumberFormat="1" applyFont="1" applyFill="1" applyBorder="1" applyAlignment="1">
      <alignment horizontal="center" vertical="center"/>
    </xf>
    <xf numFmtId="37" fontId="0" fillId="0" borderId="23" xfId="204" applyNumberFormat="1" applyFont="1" applyBorder="1" applyAlignment="1">
      <alignment horizontal="center"/>
    </xf>
    <xf numFmtId="37" fontId="0" fillId="0" borderId="0" xfId="204" applyNumberFormat="1" applyFont="1" applyBorder="1" applyAlignment="1">
      <alignment horizontal="center"/>
    </xf>
    <xf numFmtId="37" fontId="0" fillId="0" borderId="39" xfId="204" applyNumberFormat="1" applyFont="1" applyBorder="1" applyAlignment="1">
      <alignment horizontal="center"/>
    </xf>
    <xf numFmtId="37" fontId="0" fillId="0" borderId="50" xfId="204" applyNumberFormat="1" applyFont="1" applyBorder="1" applyAlignment="1">
      <alignment horizontal="center"/>
    </xf>
    <xf numFmtId="37" fontId="0" fillId="0" borderId="27" xfId="204" applyNumberFormat="1" applyFont="1" applyBorder="1" applyAlignment="1">
      <alignment horizontal="center"/>
    </xf>
    <xf numFmtId="37" fontId="0" fillId="0" borderId="51" xfId="204" applyNumberFormat="1" applyFont="1" applyBorder="1" applyAlignment="1">
      <alignment horizontal="center"/>
    </xf>
    <xf numFmtId="37" fontId="0" fillId="0" borderId="21" xfId="0" applyNumberFormat="1" applyFont="1" applyBorder="1" applyAlignment="1">
      <alignment horizontal="center"/>
    </xf>
    <xf numFmtId="37" fontId="0" fillId="0" borderId="28" xfId="0" applyNumberFormat="1" applyFont="1" applyBorder="1" applyAlignment="1">
      <alignment horizontal="center"/>
    </xf>
    <xf numFmtId="37" fontId="0" fillId="0" borderId="50" xfId="204" applyNumberFormat="1" applyFont="1" applyFill="1" applyBorder="1" applyAlignment="1">
      <alignment horizontal="center" vertical="center"/>
    </xf>
    <xf numFmtId="37" fontId="0" fillId="0" borderId="27" xfId="204" applyNumberFormat="1" applyFont="1" applyFill="1" applyBorder="1" applyAlignment="1">
      <alignment horizontal="center" vertical="center"/>
    </xf>
    <xf numFmtId="37" fontId="0" fillId="0" borderId="51" xfId="204" applyNumberFormat="1" applyFont="1" applyFill="1" applyBorder="1" applyAlignment="1">
      <alignment horizontal="center" vertical="center"/>
    </xf>
    <xf numFmtId="37" fontId="0" fillId="0" borderId="21" xfId="204" applyNumberFormat="1" applyFont="1" applyFill="1" applyBorder="1" applyAlignment="1">
      <alignment horizontal="center" vertical="center"/>
    </xf>
    <xf numFmtId="37" fontId="0" fillId="0" borderId="28" xfId="204" applyNumberFormat="1" applyFont="1" applyFill="1" applyBorder="1" applyAlignment="1">
      <alignment horizontal="center" vertical="center"/>
    </xf>
    <xf numFmtId="37" fontId="0" fillId="0" borderId="32" xfId="204" applyNumberFormat="1" applyFont="1" applyFill="1" applyBorder="1" applyAlignment="1">
      <alignment horizontal="center" vertical="center"/>
    </xf>
    <xf numFmtId="165" fontId="0" fillId="0" borderId="0" xfId="0" applyNumberFormat="1" applyFont="1" applyFill="1" applyBorder="1" applyAlignment="1">
      <alignment/>
    </xf>
    <xf numFmtId="164" fontId="0" fillId="0" borderId="0" xfId="0" applyNumberFormat="1" applyFont="1" applyFill="1" applyBorder="1" applyAlignment="1">
      <alignment/>
    </xf>
    <xf numFmtId="165" fontId="0" fillId="0" borderId="0" xfId="0" applyNumberFormat="1" applyFont="1" applyFill="1" applyAlignment="1">
      <alignment horizontal="center"/>
    </xf>
    <xf numFmtId="0" fontId="0" fillId="0" borderId="0" xfId="0" applyFont="1" applyFill="1" applyBorder="1" applyAlignment="1">
      <alignment horizontal="centerContinuous"/>
    </xf>
    <xf numFmtId="165" fontId="0" fillId="0" borderId="0" xfId="0" applyNumberFormat="1" applyFont="1" applyFill="1" applyBorder="1" applyAlignment="1">
      <alignment horizontal="centerContinuous"/>
    </xf>
    <xf numFmtId="164" fontId="0" fillId="0" borderId="0" xfId="0" applyNumberFormat="1" applyFont="1" applyFill="1" applyBorder="1" applyAlignment="1">
      <alignment horizontal="centerContinuous"/>
    </xf>
    <xf numFmtId="3" fontId="0" fillId="0" borderId="0" xfId="0" applyNumberFormat="1" applyFont="1" applyFill="1" applyBorder="1" applyAlignment="1">
      <alignment horizontal="centerContinuous"/>
    </xf>
    <xf numFmtId="0" fontId="2" fillId="0" borderId="0" xfId="0" applyFont="1" applyFill="1" applyBorder="1" applyAlignment="1">
      <alignment horizontal="center" wrapText="1"/>
    </xf>
    <xf numFmtId="165" fontId="2" fillId="0" borderId="28" xfId="0" applyNumberFormat="1" applyFont="1" applyFill="1" applyBorder="1" applyAlignment="1">
      <alignment horizontal="center" wrapText="1"/>
    </xf>
    <xf numFmtId="164" fontId="2" fillId="0" borderId="0" xfId="0" applyNumberFormat="1" applyFont="1" applyFill="1" applyBorder="1" applyAlignment="1">
      <alignment horizontal="center" wrapText="1"/>
    </xf>
    <xf numFmtId="3" fontId="2" fillId="0" borderId="0" xfId="0" applyNumberFormat="1" applyFont="1" applyFill="1" applyBorder="1" applyAlignment="1">
      <alignment horizontal="center" wrapText="1"/>
    </xf>
    <xf numFmtId="165" fontId="2" fillId="0" borderId="0" xfId="0" applyNumberFormat="1" applyFont="1" applyFill="1" applyBorder="1" applyAlignment="1">
      <alignment horizontal="center" wrapText="1"/>
    </xf>
    <xf numFmtId="165" fontId="2" fillId="0" borderId="0" xfId="298" applyNumberFormat="1" applyFont="1" applyFill="1" applyBorder="1" applyAlignment="1">
      <alignment horizontal="center" wrapText="1"/>
    </xf>
    <xf numFmtId="0" fontId="0" fillId="0" borderId="22" xfId="0" applyFont="1" applyFill="1" applyBorder="1" applyAlignment="1">
      <alignment/>
    </xf>
    <xf numFmtId="0" fontId="2" fillId="0" borderId="0" xfId="0" applyFont="1" applyFill="1" applyBorder="1" applyAlignment="1">
      <alignment horizontal="right" wrapText="1"/>
    </xf>
    <xf numFmtId="165"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3" fontId="2" fillId="0" borderId="0" xfId="0" applyNumberFormat="1" applyFont="1" applyFill="1" applyBorder="1" applyAlignment="1">
      <alignment horizontal="right" wrapText="1"/>
    </xf>
    <xf numFmtId="168" fontId="2" fillId="0" borderId="0" xfId="207" applyNumberFormat="1" applyFont="1" applyFill="1" applyBorder="1" applyAlignment="1">
      <alignment horizontal="center" wrapText="1"/>
    </xf>
    <xf numFmtId="165" fontId="0" fillId="0" borderId="0" xfId="0" applyNumberFormat="1" applyFont="1" applyFill="1" applyBorder="1" applyAlignment="1">
      <alignment horizontal="center"/>
    </xf>
    <xf numFmtId="0" fontId="2" fillId="0" borderId="20" xfId="0" applyFont="1" applyFill="1" applyBorder="1" applyAlignment="1" quotePrefix="1">
      <alignment/>
    </xf>
    <xf numFmtId="165" fontId="0" fillId="0" borderId="33" xfId="0" applyNumberFormat="1" applyFont="1" applyFill="1" applyBorder="1" applyAlignment="1">
      <alignment horizontal="center"/>
    </xf>
    <xf numFmtId="3" fontId="0" fillId="0" borderId="0" xfId="0" applyNumberFormat="1" applyFont="1" applyFill="1" applyBorder="1" applyAlignment="1">
      <alignment horizontal="center"/>
    </xf>
    <xf numFmtId="0" fontId="2" fillId="0" borderId="23" xfId="0" applyFont="1" applyFill="1" applyBorder="1" applyAlignment="1" quotePrefix="1">
      <alignment/>
    </xf>
    <xf numFmtId="168" fontId="0" fillId="0" borderId="0" xfId="207" applyNumberFormat="1" applyFont="1" applyFill="1" applyBorder="1" applyAlignment="1">
      <alignment horizontal="center"/>
    </xf>
    <xf numFmtId="165" fontId="0" fillId="0" borderId="25" xfId="0" applyNumberFormat="1" applyFont="1" applyFill="1" applyBorder="1" applyAlignment="1">
      <alignment horizontal="center"/>
    </xf>
    <xf numFmtId="0" fontId="2" fillId="0" borderId="23" xfId="0" applyFont="1" applyFill="1" applyBorder="1" applyAlignment="1">
      <alignment/>
    </xf>
    <xf numFmtId="0" fontId="2" fillId="0" borderId="21" xfId="0" applyFont="1" applyFill="1" applyBorder="1" applyAlignment="1">
      <alignment/>
    </xf>
    <xf numFmtId="3" fontId="0" fillId="0" borderId="28" xfId="0" applyNumberFormat="1" applyFont="1" applyFill="1" applyBorder="1" applyAlignment="1">
      <alignment horizontal="center"/>
    </xf>
    <xf numFmtId="165" fontId="0" fillId="0" borderId="28" xfId="0" applyNumberFormat="1" applyFont="1" applyFill="1" applyBorder="1" applyAlignment="1">
      <alignment horizontal="center"/>
    </xf>
    <xf numFmtId="168" fontId="0" fillId="0" borderId="28" xfId="207" applyNumberFormat="1" applyFont="1" applyFill="1" applyBorder="1" applyAlignment="1">
      <alignment horizontal="center"/>
    </xf>
    <xf numFmtId="165" fontId="0" fillId="0" borderId="31" xfId="0" applyNumberFormat="1" applyFont="1" applyFill="1" applyBorder="1" applyAlignment="1">
      <alignment horizontal="center"/>
    </xf>
    <xf numFmtId="164" fontId="0" fillId="0" borderId="0" xfId="0" applyNumberFormat="1" applyFont="1" applyFill="1" applyBorder="1" applyAlignment="1">
      <alignment horizontal="center"/>
    </xf>
    <xf numFmtId="0" fontId="2" fillId="0" borderId="20" xfId="0" applyFont="1" applyFill="1" applyBorder="1" applyAlignment="1">
      <alignment horizontal="left"/>
    </xf>
    <xf numFmtId="166" fontId="0" fillId="0" borderId="0" xfId="0" applyNumberFormat="1" applyFont="1" applyFill="1" applyAlignment="1">
      <alignment/>
    </xf>
    <xf numFmtId="0" fontId="0" fillId="0" borderId="41" xfId="0" applyFont="1" applyFill="1" applyBorder="1" applyAlignment="1">
      <alignment/>
    </xf>
    <xf numFmtId="0" fontId="0" fillId="0" borderId="40" xfId="0" applyFont="1" applyFill="1" applyBorder="1" applyAlignment="1">
      <alignment/>
    </xf>
    <xf numFmtId="0" fontId="2" fillId="0" borderId="21" xfId="0" applyFont="1" applyFill="1" applyBorder="1" applyAlignment="1">
      <alignment horizontal="left"/>
    </xf>
    <xf numFmtId="0" fontId="2" fillId="0" borderId="20" xfId="0" applyFont="1" applyFill="1" applyBorder="1" applyAlignment="1" quotePrefix="1">
      <alignment horizontal="left"/>
    </xf>
    <xf numFmtId="0" fontId="2" fillId="0" borderId="23" xfId="0" applyFont="1" applyFill="1" applyBorder="1" applyAlignment="1" quotePrefix="1">
      <alignment horizontal="left"/>
    </xf>
    <xf numFmtId="0" fontId="2" fillId="0" borderId="23" xfId="0" applyFont="1" applyFill="1" applyBorder="1" applyAlignment="1">
      <alignment horizontal="left"/>
    </xf>
    <xf numFmtId="0" fontId="2" fillId="0" borderId="20" xfId="0" applyFont="1" applyFill="1" applyBorder="1" applyAlignment="1">
      <alignment/>
    </xf>
    <xf numFmtId="0" fontId="0" fillId="0" borderId="28" xfId="0" applyFont="1" applyFill="1" applyBorder="1" applyAlignment="1">
      <alignment/>
    </xf>
    <xf numFmtId="3" fontId="2" fillId="0" borderId="40" xfId="0" applyNumberFormat="1" applyFont="1" applyFill="1" applyBorder="1" applyAlignment="1">
      <alignment horizontal="center"/>
    </xf>
    <xf numFmtId="165" fontId="2" fillId="0" borderId="40" xfId="0" applyNumberFormat="1" applyFont="1" applyFill="1" applyBorder="1" applyAlignment="1">
      <alignment horizontal="center"/>
    </xf>
    <xf numFmtId="168" fontId="2" fillId="0" borderId="40" xfId="207" applyNumberFormat="1" applyFont="1" applyFill="1" applyBorder="1" applyAlignment="1">
      <alignment horizontal="center"/>
    </xf>
    <xf numFmtId="37" fontId="2" fillId="0" borderId="40" xfId="204" applyNumberFormat="1" applyFont="1" applyFill="1" applyBorder="1" applyAlignment="1">
      <alignment horizontal="center"/>
    </xf>
    <xf numFmtId="165" fontId="2" fillId="0" borderId="33" xfId="0" applyNumberFormat="1" applyFont="1" applyFill="1" applyBorder="1" applyAlignment="1">
      <alignment horizontal="center"/>
    </xf>
    <xf numFmtId="166" fontId="0" fillId="0" borderId="0" xfId="0" applyNumberFormat="1" applyFont="1" applyFill="1" applyBorder="1" applyAlignment="1">
      <alignment/>
    </xf>
    <xf numFmtId="3" fontId="2" fillId="0" borderId="28" xfId="0" applyNumberFormat="1" applyFont="1" applyFill="1" applyBorder="1" applyAlignment="1">
      <alignment horizontal="center"/>
    </xf>
    <xf numFmtId="165" fontId="2" fillId="0" borderId="28" xfId="0" applyNumberFormat="1" applyFont="1" applyFill="1" applyBorder="1" applyAlignment="1">
      <alignment horizontal="center"/>
    </xf>
    <xf numFmtId="168" fontId="2" fillId="0" borderId="28" xfId="207" applyNumberFormat="1" applyFont="1" applyFill="1" applyBorder="1" applyAlignment="1">
      <alignment horizontal="center"/>
    </xf>
    <xf numFmtId="37" fontId="2" fillId="0" borderId="28" xfId="204" applyNumberFormat="1" applyFont="1" applyFill="1" applyBorder="1" applyAlignment="1">
      <alignment horizontal="center"/>
    </xf>
    <xf numFmtId="165" fontId="2" fillId="0" borderId="28" xfId="298" applyNumberFormat="1" applyFont="1" applyFill="1" applyBorder="1" applyAlignment="1">
      <alignment horizontal="center"/>
    </xf>
    <xf numFmtId="165" fontId="2" fillId="0" borderId="31" xfId="0" applyNumberFormat="1" applyFont="1" applyFill="1" applyBorder="1" applyAlignment="1">
      <alignment horizontal="center"/>
    </xf>
    <xf numFmtId="3" fontId="0" fillId="0" borderId="0" xfId="0" applyNumberFormat="1" applyFont="1" applyFill="1" applyBorder="1" applyAlignment="1">
      <alignment/>
    </xf>
    <xf numFmtId="165" fontId="6" fillId="0" borderId="0" xfId="274" applyNumberFormat="1" applyFont="1" applyBorder="1" applyAlignment="1">
      <alignment horizontal="center" wrapText="1"/>
      <protection/>
    </xf>
    <xf numFmtId="0" fontId="33" fillId="0" borderId="0" xfId="277" applyFont="1">
      <alignment/>
      <protection/>
    </xf>
    <xf numFmtId="3" fontId="37" fillId="0" borderId="0" xfId="277" applyNumberFormat="1" applyFont="1" applyAlignment="1">
      <alignment horizontal="center"/>
      <protection/>
    </xf>
    <xf numFmtId="0" fontId="37" fillId="0" borderId="0" xfId="277" applyFont="1" applyAlignment="1">
      <alignment horizontal="center"/>
      <protection/>
    </xf>
    <xf numFmtId="3" fontId="0" fillId="0" borderId="0" xfId="275" applyNumberFormat="1" applyFont="1" applyAlignment="1">
      <alignment horizontal="center"/>
      <protection/>
    </xf>
    <xf numFmtId="0" fontId="0" fillId="0" borderId="0" xfId="275" applyFont="1" applyAlignment="1">
      <alignment horizontal="center"/>
      <protection/>
    </xf>
    <xf numFmtId="0" fontId="0" fillId="0" borderId="0" xfId="275" applyFont="1">
      <alignment/>
      <protection/>
    </xf>
    <xf numFmtId="3" fontId="0" fillId="0" borderId="22" xfId="275" applyNumberFormat="1" applyFont="1" applyBorder="1" applyAlignment="1">
      <alignment horizontal="center"/>
      <protection/>
    </xf>
    <xf numFmtId="165" fontId="0" fillId="0" borderId="34" xfId="275" applyNumberFormat="1" applyFont="1" applyBorder="1" applyAlignment="1">
      <alignment horizontal="center"/>
      <protection/>
    </xf>
    <xf numFmtId="165" fontId="0" fillId="0" borderId="26" xfId="275" applyNumberFormat="1" applyFont="1" applyBorder="1" applyAlignment="1">
      <alignment horizontal="center"/>
      <protection/>
    </xf>
    <xf numFmtId="10" fontId="0" fillId="0" borderId="0" xfId="275" applyNumberFormat="1" applyFont="1" applyBorder="1" applyAlignment="1">
      <alignment horizontal="center"/>
      <protection/>
    </xf>
    <xf numFmtId="165" fontId="0" fillId="0" borderId="0" xfId="275" applyNumberFormat="1" applyFont="1" applyAlignment="1">
      <alignment horizontal="center"/>
      <protection/>
    </xf>
    <xf numFmtId="3" fontId="0" fillId="0" borderId="20" xfId="275" applyNumberFormat="1" applyFont="1" applyBorder="1" applyAlignment="1">
      <alignment horizontal="center"/>
      <protection/>
    </xf>
    <xf numFmtId="165" fontId="0" fillId="0" borderId="38" xfId="275" applyNumberFormat="1" applyFont="1" applyBorder="1" applyAlignment="1">
      <alignment horizontal="center"/>
      <protection/>
    </xf>
    <xf numFmtId="165" fontId="0" fillId="0" borderId="33" xfId="275" applyNumberFormat="1" applyFont="1" applyBorder="1" applyAlignment="1">
      <alignment horizontal="center"/>
      <protection/>
    </xf>
    <xf numFmtId="3" fontId="0" fillId="0" borderId="23" xfId="275" applyNumberFormat="1" applyFont="1" applyBorder="1" applyAlignment="1">
      <alignment horizontal="center"/>
      <protection/>
    </xf>
    <xf numFmtId="165" fontId="0" fillId="0" borderId="39" xfId="275" applyNumberFormat="1" applyFont="1" applyBorder="1" applyAlignment="1">
      <alignment horizontal="center"/>
      <protection/>
    </xf>
    <xf numFmtId="165" fontId="0" fillId="0" borderId="25" xfId="275" applyNumberFormat="1" applyFont="1" applyBorder="1" applyAlignment="1">
      <alignment horizontal="center"/>
      <protection/>
    </xf>
    <xf numFmtId="3" fontId="0" fillId="0" borderId="21" xfId="275" applyNumberFormat="1" applyFont="1" applyBorder="1" applyAlignment="1">
      <alignment horizontal="center"/>
      <protection/>
    </xf>
    <xf numFmtId="165" fontId="0" fillId="0" borderId="32" xfId="275" applyNumberFormat="1" applyFont="1" applyBorder="1" applyAlignment="1">
      <alignment horizontal="center"/>
      <protection/>
    </xf>
    <xf numFmtId="165" fontId="0" fillId="0" borderId="31" xfId="275" applyNumberFormat="1" applyFont="1" applyBorder="1" applyAlignment="1">
      <alignment horizontal="center"/>
      <protection/>
    </xf>
    <xf numFmtId="165" fontId="0" fillId="0" borderId="52" xfId="298" applyNumberFormat="1" applyFont="1" applyBorder="1" applyAlignment="1">
      <alignment horizontal="center" vertical="center" wrapText="1"/>
    </xf>
    <xf numFmtId="167" fontId="0" fillId="0" borderId="0" xfId="204" applyNumberFormat="1" applyFont="1" applyFill="1" applyBorder="1" applyAlignment="1">
      <alignment horizontal="center"/>
    </xf>
    <xf numFmtId="167" fontId="0" fillId="0" borderId="0" xfId="204" applyNumberFormat="1" applyFont="1" applyBorder="1" applyAlignment="1">
      <alignment/>
    </xf>
    <xf numFmtId="0" fontId="0" fillId="0" borderId="0" xfId="275" applyFont="1" applyBorder="1">
      <alignment/>
      <protection/>
    </xf>
    <xf numFmtId="3" fontId="0" fillId="0" borderId="43" xfId="275" applyNumberFormat="1" applyFont="1" applyBorder="1" applyAlignment="1">
      <alignment horizontal="center"/>
      <protection/>
    </xf>
    <xf numFmtId="165" fontId="0" fillId="0" borderId="42" xfId="275" applyNumberFormat="1" applyFont="1" applyBorder="1" applyAlignment="1">
      <alignment horizontal="center"/>
      <protection/>
    </xf>
    <xf numFmtId="3" fontId="0" fillId="0" borderId="41" xfId="275" applyNumberFormat="1" applyFont="1" applyBorder="1" applyAlignment="1">
      <alignment horizontal="center"/>
      <protection/>
    </xf>
    <xf numFmtId="3" fontId="0" fillId="0" borderId="36" xfId="275" applyNumberFormat="1" applyFont="1" applyBorder="1" applyAlignment="1">
      <alignment horizontal="center"/>
      <protection/>
    </xf>
    <xf numFmtId="3" fontId="0" fillId="0" borderId="37" xfId="275" applyNumberFormat="1" applyFont="1" applyBorder="1" applyAlignment="1">
      <alignment horizontal="center"/>
      <protection/>
    </xf>
    <xf numFmtId="3" fontId="0" fillId="0" borderId="44" xfId="275" applyNumberFormat="1" applyFont="1" applyBorder="1" applyAlignment="1">
      <alignment horizontal="center"/>
      <protection/>
    </xf>
    <xf numFmtId="165" fontId="0" fillId="0" borderId="55" xfId="275" applyNumberFormat="1" applyFont="1" applyBorder="1" applyAlignment="1">
      <alignment horizontal="center"/>
      <protection/>
    </xf>
    <xf numFmtId="3" fontId="0" fillId="0" borderId="34" xfId="275" applyNumberFormat="1" applyFont="1" applyBorder="1" applyAlignment="1">
      <alignment horizontal="center"/>
      <protection/>
    </xf>
    <xf numFmtId="3" fontId="0" fillId="0" borderId="35" xfId="275" applyNumberFormat="1" applyFont="1" applyBorder="1" applyAlignment="1">
      <alignment horizontal="center"/>
      <protection/>
    </xf>
    <xf numFmtId="165" fontId="0" fillId="0" borderId="56" xfId="275" applyNumberFormat="1" applyFont="1" applyBorder="1" applyAlignment="1">
      <alignment horizontal="center"/>
      <protection/>
    </xf>
    <xf numFmtId="165" fontId="0" fillId="0" borderId="57" xfId="275" applyNumberFormat="1" applyFont="1" applyBorder="1" applyAlignment="1">
      <alignment horizontal="center"/>
      <protection/>
    </xf>
    <xf numFmtId="165" fontId="0" fillId="0" borderId="28" xfId="298" applyNumberFormat="1" applyFont="1" applyFill="1" applyBorder="1" applyAlignment="1">
      <alignment horizontal="center"/>
    </xf>
    <xf numFmtId="165" fontId="0" fillId="0" borderId="31" xfId="298" applyNumberFormat="1" applyFont="1" applyFill="1" applyBorder="1" applyAlignment="1">
      <alignment horizontal="center"/>
    </xf>
    <xf numFmtId="168" fontId="2" fillId="0" borderId="0" xfId="207" applyNumberFormat="1" applyFont="1" applyAlignment="1">
      <alignment wrapText="1"/>
    </xf>
    <xf numFmtId="0" fontId="6" fillId="0" borderId="0" xfId="275" applyFont="1" applyAlignment="1">
      <alignment/>
      <protection/>
    </xf>
    <xf numFmtId="0" fontId="2" fillId="0" borderId="0" xfId="0" applyFont="1" applyBorder="1" applyAlignment="1">
      <alignment/>
    </xf>
    <xf numFmtId="0" fontId="2" fillId="0" borderId="0" xfId="0" applyFont="1" applyFill="1" applyBorder="1" applyAlignment="1">
      <alignment/>
    </xf>
    <xf numFmtId="0" fontId="6" fillId="0" borderId="0" xfId="275" applyFont="1">
      <alignment/>
      <protection/>
    </xf>
    <xf numFmtId="165" fontId="3" fillId="0" borderId="0" xfId="275" applyNumberFormat="1" applyFont="1" applyBorder="1" applyAlignment="1">
      <alignment horizontal="center"/>
      <protection/>
    </xf>
    <xf numFmtId="0" fontId="2" fillId="0" borderId="0" xfId="275" applyFont="1" applyAlignment="1">
      <alignment wrapText="1"/>
      <protection/>
    </xf>
    <xf numFmtId="165" fontId="5" fillId="0" borderId="0" xfId="275" applyNumberFormat="1" applyFont="1" applyBorder="1" applyAlignment="1">
      <alignment horizontal="center" wrapText="1"/>
      <protection/>
    </xf>
    <xf numFmtId="0" fontId="2" fillId="0" borderId="0" xfId="275" applyFont="1" applyAlignment="1">
      <alignment horizontal="center" wrapText="1"/>
      <protection/>
    </xf>
    <xf numFmtId="165" fontId="5" fillId="0" borderId="0" xfId="275" applyNumberFormat="1" applyFont="1" applyBorder="1" applyAlignment="1">
      <alignment horizontal="centerContinuous" wrapText="1"/>
      <protection/>
    </xf>
    <xf numFmtId="0" fontId="2" fillId="0" borderId="0" xfId="275" applyFont="1" applyAlignment="1">
      <alignment horizontal="left" wrapText="1"/>
      <protection/>
    </xf>
    <xf numFmtId="0" fontId="2" fillId="0" borderId="40" xfId="275" applyFont="1" applyBorder="1" applyAlignment="1">
      <alignment horizontal="center"/>
      <protection/>
    </xf>
    <xf numFmtId="0" fontId="2" fillId="0" borderId="33" xfId="275" applyFont="1" applyBorder="1" applyAlignment="1">
      <alignment horizontal="center" wrapText="1"/>
      <protection/>
    </xf>
    <xf numFmtId="0" fontId="10" fillId="0" borderId="23" xfId="275" applyFont="1" applyBorder="1" applyAlignment="1">
      <alignment horizontal="center"/>
      <protection/>
    </xf>
    <xf numFmtId="0" fontId="10" fillId="0" borderId="0" xfId="275" applyFont="1" applyBorder="1" applyAlignment="1">
      <alignment horizontal="center"/>
      <protection/>
    </xf>
    <xf numFmtId="16" fontId="10" fillId="0" borderId="0" xfId="275" applyNumberFormat="1" applyFont="1" applyBorder="1" applyAlignment="1" quotePrefix="1">
      <alignment horizontal="center"/>
      <protection/>
    </xf>
    <xf numFmtId="0" fontId="10" fillId="0" borderId="0" xfId="275" applyFont="1" applyBorder="1" applyAlignment="1" quotePrefix="1">
      <alignment horizontal="center"/>
      <protection/>
    </xf>
    <xf numFmtId="16" fontId="10" fillId="0" borderId="25" xfId="275" applyNumberFormat="1" applyFont="1" applyBorder="1" applyAlignment="1" quotePrefix="1">
      <alignment horizontal="center"/>
      <protection/>
    </xf>
    <xf numFmtId="0" fontId="2" fillId="0" borderId="0" xfId="275" applyFont="1" applyBorder="1" applyAlignment="1">
      <alignment horizontal="center" wrapText="1"/>
      <protection/>
    </xf>
    <xf numFmtId="165" fontId="0" fillId="0" borderId="23" xfId="300" applyNumberFormat="1" applyFont="1" applyFill="1" applyBorder="1" applyAlignment="1">
      <alignment horizontal="center"/>
    </xf>
    <xf numFmtId="165" fontId="0" fillId="0" borderId="0" xfId="300" applyNumberFormat="1" applyFont="1" applyFill="1" applyBorder="1" applyAlignment="1">
      <alignment horizontal="center"/>
    </xf>
    <xf numFmtId="165" fontId="0" fillId="0" borderId="0" xfId="300" applyNumberFormat="1" applyFont="1" applyBorder="1" applyAlignment="1">
      <alignment horizontal="center"/>
    </xf>
    <xf numFmtId="165" fontId="0" fillId="0" borderId="25" xfId="300" applyNumberFormat="1" applyFont="1" applyBorder="1" applyAlignment="1">
      <alignment horizontal="center"/>
    </xf>
    <xf numFmtId="0" fontId="2" fillId="0" borderId="58" xfId="275" applyFont="1" applyBorder="1" applyAlignment="1">
      <alignment horizontal="center" wrapText="1"/>
      <protection/>
    </xf>
    <xf numFmtId="165" fontId="0" fillId="0" borderId="59" xfId="300" applyNumberFormat="1" applyFont="1" applyBorder="1" applyAlignment="1">
      <alignment horizontal="center"/>
    </xf>
    <xf numFmtId="165" fontId="0" fillId="0" borderId="60" xfId="300" applyNumberFormat="1" applyFont="1" applyBorder="1" applyAlignment="1">
      <alignment horizontal="center"/>
    </xf>
    <xf numFmtId="165" fontId="0" fillId="0" borderId="59" xfId="275" applyNumberFormat="1" applyFont="1" applyFill="1" applyBorder="1" applyAlignment="1">
      <alignment horizontal="center"/>
      <protection/>
    </xf>
    <xf numFmtId="165" fontId="0" fillId="0" borderId="60" xfId="275" applyNumberFormat="1" applyFont="1" applyFill="1" applyBorder="1" applyAlignment="1">
      <alignment horizontal="center"/>
      <protection/>
    </xf>
    <xf numFmtId="165" fontId="0" fillId="0" borderId="60" xfId="275" applyNumberFormat="1" applyFont="1" applyBorder="1" applyAlignment="1">
      <alignment horizontal="center"/>
      <protection/>
    </xf>
    <xf numFmtId="168" fontId="0" fillId="0" borderId="60" xfId="207" applyNumberFormat="1" applyFont="1" applyBorder="1" applyAlignment="1">
      <alignment horizontal="center"/>
    </xf>
    <xf numFmtId="165" fontId="0" fillId="0" borderId="61" xfId="300" applyNumberFormat="1" applyFont="1" applyBorder="1" applyAlignment="1">
      <alignment horizontal="center"/>
    </xf>
    <xf numFmtId="165" fontId="0" fillId="0" borderId="0" xfId="275" applyNumberFormat="1" applyFont="1" applyFill="1" applyBorder="1" applyAlignment="1">
      <alignment horizontal="center"/>
      <protection/>
    </xf>
    <xf numFmtId="165" fontId="0" fillId="0" borderId="0" xfId="275" applyNumberFormat="1" applyFont="1" applyBorder="1" applyAlignment="1">
      <alignment horizontal="center"/>
      <protection/>
    </xf>
    <xf numFmtId="0" fontId="6" fillId="0" borderId="0" xfId="275" applyFont="1" applyBorder="1" applyAlignment="1">
      <alignment horizontal="center" wrapText="1"/>
      <protection/>
    </xf>
    <xf numFmtId="0" fontId="0" fillId="0" borderId="0" xfId="275" applyFont="1" applyAlignment="1">
      <alignment horizontal="centerContinuous"/>
      <protection/>
    </xf>
    <xf numFmtId="0" fontId="6" fillId="0" borderId="0" xfId="275" applyFont="1" applyAlignment="1">
      <alignment horizontal="left" wrapText="1"/>
      <protection/>
    </xf>
    <xf numFmtId="0" fontId="6" fillId="0" borderId="20" xfId="275" applyFont="1" applyBorder="1" applyAlignment="1">
      <alignment horizontal="center"/>
      <protection/>
    </xf>
    <xf numFmtId="0" fontId="6" fillId="0" borderId="40" xfId="275" applyFont="1" applyBorder="1" applyAlignment="1">
      <alignment horizontal="center"/>
      <protection/>
    </xf>
    <xf numFmtId="165" fontId="0" fillId="0" borderId="23" xfId="300" applyNumberFormat="1" applyFont="1" applyBorder="1" applyAlignment="1">
      <alignment horizontal="center"/>
    </xf>
    <xf numFmtId="0" fontId="0" fillId="0" borderId="0" xfId="275" applyFont="1" applyBorder="1" applyAlignment="1">
      <alignment horizontal="right"/>
      <protection/>
    </xf>
    <xf numFmtId="0" fontId="2" fillId="0" borderId="59" xfId="275" applyFont="1" applyBorder="1" applyAlignment="1">
      <alignment horizontal="center" wrapText="1"/>
      <protection/>
    </xf>
    <xf numFmtId="165" fontId="0" fillId="0" borderId="59" xfId="275" applyNumberFormat="1" applyFont="1" applyBorder="1" applyAlignment="1">
      <alignment horizontal="center"/>
      <protection/>
    </xf>
    <xf numFmtId="167" fontId="0" fillId="0" borderId="60" xfId="204" applyNumberFormat="1" applyFont="1" applyBorder="1" applyAlignment="1">
      <alignment horizontal="center"/>
    </xf>
    <xf numFmtId="165" fontId="0" fillId="0" borderId="60" xfId="298" applyNumberFormat="1" applyFont="1" applyBorder="1" applyAlignment="1">
      <alignment horizontal="center"/>
    </xf>
    <xf numFmtId="0" fontId="6" fillId="0" borderId="0" xfId="275" applyFont="1" applyAlignment="1">
      <alignment horizontal="center" wrapText="1"/>
      <protection/>
    </xf>
    <xf numFmtId="165" fontId="0" fillId="0" borderId="61" xfId="298" applyNumberFormat="1" applyFont="1" applyBorder="1" applyAlignment="1">
      <alignment horizontal="center"/>
    </xf>
    <xf numFmtId="0" fontId="0" fillId="0" borderId="0" xfId="275" applyNumberFormat="1" applyFont="1" applyBorder="1">
      <alignment/>
      <protection/>
    </xf>
    <xf numFmtId="165" fontId="0" fillId="0" borderId="0" xfId="281" applyNumberFormat="1" applyFont="1" applyBorder="1">
      <alignment/>
      <protection/>
    </xf>
    <xf numFmtId="165" fontId="0" fillId="0" borderId="0" xfId="273" applyNumberFormat="1" applyFont="1" applyBorder="1">
      <alignment/>
      <protection/>
    </xf>
    <xf numFmtId="0" fontId="0" fillId="0" borderId="0" xfId="279" applyNumberFormat="1" applyFont="1" applyBorder="1">
      <alignment/>
      <protection/>
    </xf>
    <xf numFmtId="3" fontId="2" fillId="0" borderId="19" xfId="276" applyNumberFormat="1" applyFont="1" applyFill="1" applyBorder="1" applyAlignment="1">
      <alignment horizontal="center"/>
      <protection/>
    </xf>
    <xf numFmtId="165" fontId="2" fillId="0" borderId="19" xfId="276" applyNumberFormat="1" applyFont="1" applyFill="1" applyBorder="1" applyAlignment="1">
      <alignment horizontal="center"/>
      <protection/>
    </xf>
    <xf numFmtId="165" fontId="2" fillId="0" borderId="26" xfId="276" applyNumberFormat="1" applyFont="1" applyFill="1" applyBorder="1" applyAlignment="1">
      <alignment horizontal="center"/>
      <protection/>
    </xf>
    <xf numFmtId="165" fontId="2" fillId="0" borderId="0" xfId="276" applyNumberFormat="1" applyFont="1" applyBorder="1" applyAlignment="1">
      <alignment horizontal="center" wrapText="1"/>
      <protection/>
    </xf>
    <xf numFmtId="3" fontId="2" fillId="0" borderId="0" xfId="276" applyNumberFormat="1" applyFont="1" applyBorder="1" applyAlignment="1">
      <alignment horizontal="center" wrapText="1"/>
      <protection/>
    </xf>
    <xf numFmtId="165" fontId="0" fillId="0" borderId="0" xfId="276" applyNumberFormat="1" applyFont="1" applyAlignment="1">
      <alignment horizontal="center"/>
      <protection/>
    </xf>
    <xf numFmtId="3" fontId="0" fillId="0" borderId="40" xfId="276" applyNumberFormat="1" applyFont="1" applyBorder="1" applyAlignment="1">
      <alignment horizontal="center"/>
      <protection/>
    </xf>
    <xf numFmtId="165" fontId="0" fillId="0" borderId="40" xfId="276" applyNumberFormat="1" applyFont="1" applyBorder="1" applyAlignment="1">
      <alignment horizontal="center"/>
      <protection/>
    </xf>
    <xf numFmtId="165" fontId="0" fillId="0" borderId="33" xfId="276" applyNumberFormat="1" applyFont="1" applyBorder="1" applyAlignment="1">
      <alignment horizontal="center"/>
      <protection/>
    </xf>
    <xf numFmtId="3" fontId="0" fillId="0" borderId="28" xfId="276" applyNumberFormat="1" applyFont="1" applyFill="1" applyBorder="1" applyAlignment="1">
      <alignment horizontal="center"/>
      <protection/>
    </xf>
    <xf numFmtId="165" fontId="0" fillId="0" borderId="28" xfId="276" applyNumberFormat="1" applyFont="1" applyFill="1" applyBorder="1" applyAlignment="1">
      <alignment horizontal="center"/>
      <protection/>
    </xf>
    <xf numFmtId="165" fontId="0" fillId="0" borderId="31" xfId="276" applyNumberFormat="1" applyFont="1" applyFill="1" applyBorder="1" applyAlignment="1">
      <alignment horizontal="center"/>
      <protection/>
    </xf>
    <xf numFmtId="3" fontId="0" fillId="0" borderId="0" xfId="276" applyNumberFormat="1" applyFont="1" applyBorder="1" applyAlignment="1">
      <alignment horizontal="center"/>
      <protection/>
    </xf>
    <xf numFmtId="165" fontId="0" fillId="0" borderId="0" xfId="276" applyNumberFormat="1" applyFont="1" applyBorder="1" applyAlignment="1">
      <alignment horizontal="center"/>
      <protection/>
    </xf>
    <xf numFmtId="9" fontId="0" fillId="0" borderId="0" xfId="276" applyNumberFormat="1" applyFont="1" applyBorder="1" applyAlignment="1">
      <alignment horizontal="center"/>
      <protection/>
    </xf>
    <xf numFmtId="165" fontId="0" fillId="0" borderId="40" xfId="276" applyNumberFormat="1" applyFont="1" applyFill="1" applyBorder="1" applyAlignment="1">
      <alignment horizontal="center"/>
      <protection/>
    </xf>
    <xf numFmtId="3" fontId="0" fillId="0" borderId="28" xfId="276" applyNumberFormat="1" applyFont="1" applyBorder="1" applyAlignment="1">
      <alignment horizontal="center"/>
      <protection/>
    </xf>
    <xf numFmtId="165" fontId="0" fillId="0" borderId="28" xfId="276" applyNumberFormat="1" applyFont="1" applyBorder="1" applyAlignment="1">
      <alignment horizontal="center"/>
      <protection/>
    </xf>
    <xf numFmtId="3" fontId="0" fillId="0" borderId="28" xfId="298" applyNumberFormat="1" applyFont="1" applyBorder="1" applyAlignment="1">
      <alignment horizontal="center"/>
    </xf>
    <xf numFmtId="3" fontId="0" fillId="0" borderId="0" xfId="276" applyNumberFormat="1" applyFont="1" applyBorder="1">
      <alignment/>
      <protection/>
    </xf>
    <xf numFmtId="165" fontId="0" fillId="0" borderId="0" xfId="276" applyNumberFormat="1" applyFont="1" applyBorder="1">
      <alignment/>
      <protection/>
    </xf>
    <xf numFmtId="165" fontId="0" fillId="0" borderId="31" xfId="276" applyNumberFormat="1" applyFont="1" applyBorder="1" applyAlignment="1">
      <alignment horizontal="center"/>
      <protection/>
    </xf>
    <xf numFmtId="165" fontId="0" fillId="0" borderId="25" xfId="276" applyNumberFormat="1" applyFont="1" applyBorder="1" applyAlignment="1">
      <alignment horizontal="center"/>
      <protection/>
    </xf>
    <xf numFmtId="165" fontId="0" fillId="0" borderId="33" xfId="276" applyNumberFormat="1" applyFont="1" applyFill="1" applyBorder="1" applyAlignment="1">
      <alignment horizontal="center"/>
      <protection/>
    </xf>
    <xf numFmtId="3" fontId="0" fillId="0" borderId="40" xfId="276" applyNumberFormat="1" applyFont="1" applyFill="1" applyBorder="1" applyAlignment="1">
      <alignment horizontal="center"/>
      <protection/>
    </xf>
    <xf numFmtId="43" fontId="0" fillId="0" borderId="0" xfId="204" applyFont="1" applyFill="1" applyBorder="1" applyAlignment="1">
      <alignment horizontal="center"/>
    </xf>
    <xf numFmtId="165" fontId="64" fillId="0" borderId="40" xfId="276" applyNumberFormat="1" applyFont="1" applyBorder="1" applyAlignment="1">
      <alignment horizontal="center"/>
      <protection/>
    </xf>
    <xf numFmtId="165" fontId="64" fillId="0" borderId="28" xfId="276" applyNumberFormat="1" applyFont="1" applyFill="1" applyBorder="1" applyAlignment="1">
      <alignment horizontal="center"/>
      <protection/>
    </xf>
    <xf numFmtId="0" fontId="65" fillId="0" borderId="0" xfId="276" applyFont="1" applyBorder="1" applyAlignment="1">
      <alignment horizontal="center"/>
      <protection/>
    </xf>
    <xf numFmtId="0" fontId="64" fillId="0" borderId="0" xfId="276" applyFont="1">
      <alignment/>
      <protection/>
    </xf>
    <xf numFmtId="0" fontId="64" fillId="0" borderId="0" xfId="276" applyFont="1" applyBorder="1">
      <alignment/>
      <protection/>
    </xf>
    <xf numFmtId="165" fontId="64" fillId="0" borderId="0" xfId="298" applyNumberFormat="1" applyFont="1" applyAlignment="1">
      <alignment/>
    </xf>
    <xf numFmtId="0" fontId="66" fillId="0" borderId="0" xfId="276" applyFont="1">
      <alignment/>
      <protection/>
    </xf>
    <xf numFmtId="164" fontId="64" fillId="0" borderId="0" xfId="276" applyNumberFormat="1" applyFont="1" applyBorder="1">
      <alignment/>
      <protection/>
    </xf>
    <xf numFmtId="0" fontId="67" fillId="0" borderId="0" xfId="276" applyFont="1" applyBorder="1" applyAlignment="1">
      <alignment horizontal="center"/>
      <protection/>
    </xf>
    <xf numFmtId="0" fontId="65" fillId="0" borderId="34" xfId="276" applyFont="1" applyBorder="1" applyAlignment="1">
      <alignment horizontal="left"/>
      <protection/>
    </xf>
    <xf numFmtId="0" fontId="65" fillId="0" borderId="34" xfId="276" applyNumberFormat="1" applyFont="1" applyFill="1" applyBorder="1" applyAlignment="1">
      <alignment horizontal="center"/>
      <protection/>
    </xf>
    <xf numFmtId="0" fontId="65" fillId="0" borderId="34" xfId="207" applyNumberFormat="1" applyFont="1" applyFill="1" applyBorder="1" applyAlignment="1" quotePrefix="1">
      <alignment horizontal="center"/>
    </xf>
    <xf numFmtId="3" fontId="65" fillId="0" borderId="34" xfId="276" applyNumberFormat="1" applyFont="1" applyFill="1" applyBorder="1" applyAlignment="1" quotePrefix="1">
      <alignment horizontal="center"/>
      <protection/>
    </xf>
    <xf numFmtId="3" fontId="65" fillId="0" borderId="34" xfId="276" applyNumberFormat="1" applyFont="1" applyFill="1" applyBorder="1" applyAlignment="1">
      <alignment horizontal="center"/>
      <protection/>
    </xf>
    <xf numFmtId="9" fontId="64" fillId="0" borderId="0" xfId="298" applyFont="1" applyBorder="1" applyAlignment="1">
      <alignment/>
    </xf>
    <xf numFmtId="165" fontId="64" fillId="0" borderId="0" xfId="298" applyNumberFormat="1" applyFont="1" applyBorder="1" applyAlignment="1">
      <alignment/>
    </xf>
    <xf numFmtId="0" fontId="65" fillId="0" borderId="38" xfId="276" applyFont="1" applyBorder="1" applyAlignment="1">
      <alignment/>
      <protection/>
    </xf>
    <xf numFmtId="165" fontId="64" fillId="0" borderId="38" xfId="298" applyNumberFormat="1" applyFont="1" applyBorder="1" applyAlignment="1">
      <alignment horizontal="center"/>
    </xf>
    <xf numFmtId="167" fontId="64" fillId="0" borderId="38" xfId="204" applyNumberFormat="1" applyFont="1" applyBorder="1" applyAlignment="1">
      <alignment horizontal="center"/>
    </xf>
    <xf numFmtId="165" fontId="64" fillId="0" borderId="20" xfId="298" applyNumberFormat="1" applyFont="1" applyBorder="1" applyAlignment="1">
      <alignment horizontal="center"/>
    </xf>
    <xf numFmtId="0" fontId="65" fillId="0" borderId="39" xfId="276" applyFont="1" applyBorder="1" applyAlignment="1">
      <alignment/>
      <protection/>
    </xf>
    <xf numFmtId="165" fontId="64" fillId="0" borderId="39" xfId="298" applyNumberFormat="1" applyFont="1" applyBorder="1" applyAlignment="1">
      <alignment horizontal="center"/>
    </xf>
    <xf numFmtId="167" fontId="64" fillId="0" borderId="39" xfId="204" applyNumberFormat="1" applyFont="1" applyBorder="1" applyAlignment="1">
      <alignment horizontal="center"/>
    </xf>
    <xf numFmtId="165" fontId="64" fillId="0" borderId="23" xfId="298" applyNumberFormat="1" applyFont="1" applyBorder="1" applyAlignment="1">
      <alignment horizontal="center"/>
    </xf>
    <xf numFmtId="16" fontId="64" fillId="0" borderId="0" xfId="276" applyNumberFormat="1" applyFont="1" applyBorder="1" quotePrefix="1">
      <alignment/>
      <protection/>
    </xf>
    <xf numFmtId="164" fontId="64" fillId="0" borderId="36" xfId="273" applyNumberFormat="1" applyFont="1" applyBorder="1">
      <alignment/>
      <protection/>
    </xf>
    <xf numFmtId="0" fontId="65" fillId="0" borderId="32" xfId="276" applyFont="1" applyBorder="1" applyAlignment="1">
      <alignment/>
      <protection/>
    </xf>
    <xf numFmtId="165" fontId="64" fillId="0" borderId="32" xfId="298" applyNumberFormat="1" applyFont="1" applyFill="1" applyBorder="1" applyAlignment="1">
      <alignment horizontal="center"/>
    </xf>
    <xf numFmtId="167" fontId="64" fillId="0" borderId="32" xfId="204" applyNumberFormat="1" applyFont="1" applyFill="1" applyBorder="1" applyAlignment="1">
      <alignment horizontal="center"/>
    </xf>
    <xf numFmtId="165" fontId="64" fillId="0" borderId="32" xfId="298" applyNumberFormat="1" applyFont="1" applyBorder="1" applyAlignment="1">
      <alignment horizontal="center"/>
    </xf>
    <xf numFmtId="165" fontId="64" fillId="0" borderId="21" xfId="298" applyNumberFormat="1" applyFont="1" applyBorder="1" applyAlignment="1">
      <alignment horizontal="center"/>
    </xf>
    <xf numFmtId="0" fontId="64" fillId="0" borderId="0" xfId="276" applyFont="1" applyBorder="1" quotePrefix="1">
      <alignment/>
      <protection/>
    </xf>
    <xf numFmtId="164" fontId="64" fillId="0" borderId="48" xfId="273" applyNumberFormat="1" applyFont="1" applyBorder="1">
      <alignment/>
      <protection/>
    </xf>
    <xf numFmtId="164" fontId="64" fillId="0" borderId="62" xfId="273" applyNumberFormat="1" applyFont="1" applyBorder="1">
      <alignment/>
      <protection/>
    </xf>
    <xf numFmtId="0" fontId="65" fillId="0" borderId="0" xfId="276" applyFont="1" applyBorder="1">
      <alignment/>
      <protection/>
    </xf>
    <xf numFmtId="165" fontId="64" fillId="0" borderId="0" xfId="298" applyNumberFormat="1" applyFont="1" applyBorder="1" applyAlignment="1">
      <alignment horizontal="center"/>
    </xf>
    <xf numFmtId="168" fontId="64" fillId="0" borderId="0" xfId="207" applyNumberFormat="1" applyFont="1" applyBorder="1" applyAlignment="1">
      <alignment horizontal="center"/>
    </xf>
    <xf numFmtId="3" fontId="64" fillId="0" borderId="0" xfId="298" applyNumberFormat="1" applyFont="1" applyBorder="1" applyAlignment="1">
      <alignment horizontal="center"/>
    </xf>
    <xf numFmtId="167" fontId="64" fillId="0" borderId="32" xfId="204" applyNumberFormat="1" applyFont="1" applyBorder="1" applyAlignment="1">
      <alignment horizontal="center"/>
    </xf>
    <xf numFmtId="0" fontId="65" fillId="0" borderId="0" xfId="276" applyFont="1" applyBorder="1" applyAlignment="1">
      <alignment/>
      <protection/>
    </xf>
    <xf numFmtId="9" fontId="64" fillId="0" borderId="0" xfId="298" applyFont="1" applyFill="1" applyBorder="1" applyAlignment="1">
      <alignment horizontal="center"/>
    </xf>
    <xf numFmtId="9" fontId="64" fillId="0" borderId="0" xfId="298" applyFont="1" applyBorder="1" applyAlignment="1">
      <alignment horizontal="center"/>
    </xf>
    <xf numFmtId="167" fontId="64" fillId="0" borderId="0" xfId="204" applyNumberFormat="1" applyFont="1" applyFill="1" applyBorder="1" applyAlignment="1">
      <alignment horizontal="center"/>
    </xf>
    <xf numFmtId="167" fontId="64" fillId="0" borderId="0" xfId="204" applyNumberFormat="1" applyFont="1" applyBorder="1" applyAlignment="1">
      <alignment horizontal="center"/>
    </xf>
    <xf numFmtId="0" fontId="64" fillId="0" borderId="0" xfId="276" applyNumberFormat="1" applyFont="1" applyBorder="1">
      <alignment/>
      <protection/>
    </xf>
    <xf numFmtId="164" fontId="64" fillId="0" borderId="35" xfId="273" applyNumberFormat="1" applyFont="1" applyBorder="1">
      <alignment/>
      <protection/>
    </xf>
    <xf numFmtId="167" fontId="64" fillId="0" borderId="0" xfId="276" applyNumberFormat="1" applyFont="1" applyBorder="1">
      <alignment/>
      <protection/>
    </xf>
    <xf numFmtId="164" fontId="64" fillId="0" borderId="46" xfId="273" applyNumberFormat="1" applyFont="1" applyBorder="1">
      <alignment/>
      <protection/>
    </xf>
    <xf numFmtId="164" fontId="64" fillId="0" borderId="0" xfId="273" applyNumberFormat="1" applyFont="1">
      <alignment/>
      <protection/>
    </xf>
    <xf numFmtId="1" fontId="64" fillId="0" borderId="0" xfId="298" applyNumberFormat="1" applyFont="1" applyBorder="1" applyAlignment="1">
      <alignment horizontal="center"/>
    </xf>
    <xf numFmtId="3" fontId="64" fillId="0" borderId="0" xfId="276" applyNumberFormat="1" applyFont="1" applyBorder="1" applyAlignment="1">
      <alignment horizontal="center"/>
      <protection/>
    </xf>
    <xf numFmtId="0" fontId="65" fillId="0" borderId="0" xfId="276" applyFont="1" applyBorder="1" applyAlignment="1">
      <alignment horizontal="left"/>
      <protection/>
    </xf>
    <xf numFmtId="165" fontId="64" fillId="0" borderId="0" xfId="276" applyNumberFormat="1" applyFont="1" applyBorder="1" applyAlignment="1">
      <alignment horizontal="center"/>
      <protection/>
    </xf>
    <xf numFmtId="168" fontId="64" fillId="0" borderId="0" xfId="207" applyNumberFormat="1" applyFont="1" applyBorder="1" applyAlignment="1">
      <alignment/>
    </xf>
    <xf numFmtId="0" fontId="65" fillId="0" borderId="0" xfId="275" applyFont="1" applyBorder="1" applyAlignment="1">
      <alignment horizontal="center"/>
      <protection/>
    </xf>
    <xf numFmtId="0" fontId="64" fillId="0" borderId="0" xfId="275" applyFont="1">
      <alignment/>
      <protection/>
    </xf>
    <xf numFmtId="0" fontId="66" fillId="0" borderId="0" xfId="275" applyFont="1">
      <alignment/>
      <protection/>
    </xf>
    <xf numFmtId="0" fontId="64" fillId="0" borderId="0" xfId="275" applyFont="1" applyBorder="1">
      <alignment/>
      <protection/>
    </xf>
    <xf numFmtId="164" fontId="64" fillId="0" borderId="0" xfId="275" applyNumberFormat="1" applyFont="1" applyBorder="1">
      <alignment/>
      <protection/>
    </xf>
    <xf numFmtId="0" fontId="67" fillId="0" borderId="0" xfId="275" applyFont="1" applyBorder="1" applyAlignment="1">
      <alignment horizontal="center"/>
      <protection/>
    </xf>
    <xf numFmtId="0" fontId="65" fillId="0" borderId="34" xfId="275" applyFont="1" applyBorder="1" applyAlignment="1">
      <alignment horizontal="left"/>
      <protection/>
    </xf>
    <xf numFmtId="0" fontId="65" fillId="0" borderId="34" xfId="275" applyNumberFormat="1" applyFont="1" applyFill="1" applyBorder="1" applyAlignment="1">
      <alignment horizontal="center"/>
      <protection/>
    </xf>
    <xf numFmtId="3" fontId="65" fillId="0" borderId="34" xfId="275" applyNumberFormat="1" applyFont="1" applyFill="1" applyBorder="1" applyAlignment="1" quotePrefix="1">
      <alignment horizontal="center"/>
      <protection/>
    </xf>
    <xf numFmtId="3" fontId="65" fillId="0" borderId="34" xfId="275" applyNumberFormat="1" applyFont="1" applyFill="1" applyBorder="1" applyAlignment="1">
      <alignment horizontal="center"/>
      <protection/>
    </xf>
    <xf numFmtId="0" fontId="65" fillId="0" borderId="38" xfId="275" applyFont="1" applyBorder="1" applyAlignment="1">
      <alignment/>
      <protection/>
    </xf>
    <xf numFmtId="10" fontId="64" fillId="0" borderId="38" xfId="298" applyNumberFormat="1" applyFont="1" applyBorder="1" applyAlignment="1">
      <alignment/>
    </xf>
    <xf numFmtId="0" fontId="65" fillId="0" borderId="32" xfId="275" applyFont="1" applyBorder="1" applyAlignment="1">
      <alignment/>
      <protection/>
    </xf>
    <xf numFmtId="10" fontId="64" fillId="0" borderId="32" xfId="298" applyNumberFormat="1" applyFont="1" applyBorder="1" applyAlignment="1">
      <alignment/>
    </xf>
    <xf numFmtId="0" fontId="65" fillId="0" borderId="0" xfId="275" applyFont="1" applyBorder="1">
      <alignment/>
      <protection/>
    </xf>
    <xf numFmtId="0" fontId="65" fillId="0" borderId="39" xfId="275" applyFont="1" applyBorder="1" applyAlignment="1">
      <alignment/>
      <protection/>
    </xf>
    <xf numFmtId="10" fontId="64" fillId="0" borderId="39" xfId="298" applyNumberFormat="1" applyFont="1" applyBorder="1" applyAlignment="1">
      <alignment/>
    </xf>
    <xf numFmtId="0" fontId="65" fillId="0" borderId="0" xfId="275" applyFont="1" applyBorder="1" applyAlignment="1">
      <alignment/>
      <protection/>
    </xf>
    <xf numFmtId="3" fontId="65" fillId="0" borderId="22" xfId="275" applyNumberFormat="1" applyFont="1" applyFill="1" applyBorder="1" applyAlignment="1" quotePrefix="1">
      <alignment horizontal="center"/>
      <protection/>
    </xf>
    <xf numFmtId="0" fontId="65" fillId="0" borderId="34" xfId="275" applyNumberFormat="1" applyFont="1" applyFill="1" applyBorder="1" applyAlignment="1" quotePrefix="1">
      <alignment horizontal="center"/>
      <protection/>
    </xf>
    <xf numFmtId="165" fontId="64" fillId="0" borderId="38" xfId="298" applyNumberFormat="1" applyFont="1" applyFill="1" applyBorder="1" applyAlignment="1">
      <alignment horizontal="center"/>
    </xf>
    <xf numFmtId="165" fontId="64" fillId="0" borderId="39" xfId="298" applyNumberFormat="1" applyFont="1" applyFill="1" applyBorder="1" applyAlignment="1">
      <alignment horizontal="center"/>
    </xf>
    <xf numFmtId="43" fontId="65" fillId="0" borderId="0" xfId="204" applyFont="1" applyBorder="1" applyAlignment="1">
      <alignment/>
    </xf>
    <xf numFmtId="0" fontId="64" fillId="0" borderId="38" xfId="298" applyNumberFormat="1" applyFont="1" applyBorder="1" applyAlignment="1">
      <alignment horizontal="center"/>
    </xf>
    <xf numFmtId="0" fontId="64" fillId="0" borderId="39" xfId="298" applyNumberFormat="1" applyFont="1" applyBorder="1" applyAlignment="1">
      <alignment horizontal="center"/>
    </xf>
    <xf numFmtId="0" fontId="64" fillId="0" borderId="32" xfId="298" applyNumberFormat="1" applyFont="1" applyBorder="1" applyAlignment="1">
      <alignment horizontal="center"/>
    </xf>
    <xf numFmtId="0" fontId="65" fillId="0" borderId="0" xfId="274" applyFont="1" applyAlignment="1">
      <alignment wrapText="1"/>
      <protection/>
    </xf>
    <xf numFmtId="0" fontId="64" fillId="0" borderId="0" xfId="274" applyFont="1">
      <alignment/>
      <protection/>
    </xf>
    <xf numFmtId="165" fontId="68" fillId="0" borderId="0" xfId="274" applyNumberFormat="1" applyFont="1" applyBorder="1" applyAlignment="1">
      <alignment horizontal="center"/>
      <protection/>
    </xf>
    <xf numFmtId="165" fontId="69" fillId="0" borderId="0" xfId="274" applyNumberFormat="1" applyFont="1" applyBorder="1" applyAlignment="1">
      <alignment horizontal="center" wrapText="1"/>
      <protection/>
    </xf>
    <xf numFmtId="0" fontId="64" fillId="0" borderId="0" xfId="274" applyFont="1" applyAlignment="1">
      <alignment horizontal="centerContinuous"/>
      <protection/>
    </xf>
    <xf numFmtId="165" fontId="69" fillId="0" borderId="0" xfId="274" applyNumberFormat="1" applyFont="1" applyAlignment="1">
      <alignment horizontal="center" wrapText="1"/>
      <protection/>
    </xf>
    <xf numFmtId="165" fontId="70" fillId="0" borderId="0" xfId="274" applyNumberFormat="1" applyFont="1" applyBorder="1" applyAlignment="1">
      <alignment horizontal="center" wrapText="1"/>
      <protection/>
    </xf>
    <xf numFmtId="165" fontId="70" fillId="0" borderId="0" xfId="274" applyNumberFormat="1" applyFont="1" applyBorder="1" applyAlignment="1">
      <alignment horizontal="centerContinuous" wrapText="1"/>
      <protection/>
    </xf>
    <xf numFmtId="0" fontId="65" fillId="0" borderId="0" xfId="274" applyFont="1" applyAlignment="1">
      <alignment horizontal="left" wrapText="1"/>
      <protection/>
    </xf>
    <xf numFmtId="0" fontId="65" fillId="0" borderId="40" xfId="274" applyFont="1" applyBorder="1" applyAlignment="1">
      <alignment horizontal="center"/>
      <protection/>
    </xf>
    <xf numFmtId="0" fontId="65" fillId="0" borderId="33" xfId="274" applyFont="1" applyBorder="1" applyAlignment="1">
      <alignment horizontal="center" wrapText="1"/>
      <protection/>
    </xf>
    <xf numFmtId="0" fontId="71" fillId="0" borderId="23" xfId="274" applyFont="1" applyBorder="1" applyAlignment="1">
      <alignment horizontal="center"/>
      <protection/>
    </xf>
    <xf numFmtId="0" fontId="71" fillId="0" borderId="0" xfId="274" applyFont="1" applyBorder="1" applyAlignment="1">
      <alignment horizontal="center"/>
      <protection/>
    </xf>
    <xf numFmtId="16" fontId="71" fillId="0" borderId="0" xfId="274" applyNumberFormat="1" applyFont="1" applyBorder="1" applyAlignment="1" quotePrefix="1">
      <alignment horizontal="center"/>
      <protection/>
    </xf>
    <xf numFmtId="0" fontId="71" fillId="0" borderId="0" xfId="274" applyFont="1" applyBorder="1" applyAlignment="1" quotePrefix="1">
      <alignment horizontal="center"/>
      <protection/>
    </xf>
    <xf numFmtId="16" fontId="71" fillId="0" borderId="25" xfId="274" applyNumberFormat="1" applyFont="1" applyBorder="1" applyAlignment="1" quotePrefix="1">
      <alignment horizontal="center"/>
      <protection/>
    </xf>
    <xf numFmtId="0" fontId="65" fillId="0" borderId="0" xfId="274" applyFont="1" applyBorder="1" applyAlignment="1">
      <alignment horizontal="center" wrapText="1"/>
      <protection/>
    </xf>
    <xf numFmtId="165" fontId="64" fillId="0" borderId="23" xfId="299" applyNumberFormat="1" applyFont="1" applyFill="1" applyBorder="1" applyAlignment="1">
      <alignment horizontal="center"/>
    </xf>
    <xf numFmtId="165" fontId="64" fillId="0" borderId="0" xfId="299" applyNumberFormat="1" applyFont="1" applyFill="1" applyBorder="1" applyAlignment="1">
      <alignment horizontal="center"/>
    </xf>
    <xf numFmtId="165" fontId="64" fillId="0" borderId="25" xfId="299" applyNumberFormat="1" applyFont="1" applyBorder="1" applyAlignment="1">
      <alignment horizontal="center"/>
    </xf>
    <xf numFmtId="0" fontId="64" fillId="0" borderId="0" xfId="274" applyFont="1" applyBorder="1">
      <alignment/>
      <protection/>
    </xf>
    <xf numFmtId="165" fontId="64" fillId="0" borderId="25" xfId="299" applyNumberFormat="1" applyFont="1" applyFill="1" applyBorder="1" applyAlignment="1">
      <alignment horizontal="center"/>
    </xf>
    <xf numFmtId="0" fontId="65" fillId="0" borderId="28" xfId="274" applyFont="1" applyBorder="1" applyAlignment="1">
      <alignment horizontal="center" wrapText="1"/>
      <protection/>
    </xf>
    <xf numFmtId="165" fontId="64" fillId="0" borderId="21" xfId="299" applyNumberFormat="1" applyFont="1" applyFill="1" applyBorder="1" applyAlignment="1">
      <alignment horizontal="center"/>
    </xf>
    <xf numFmtId="165" fontId="64" fillId="0" borderId="28" xfId="299" applyNumberFormat="1" applyFont="1" applyFill="1" applyBorder="1" applyAlignment="1">
      <alignment horizontal="center"/>
    </xf>
    <xf numFmtId="167" fontId="64" fillId="0" borderId="28" xfId="204" applyNumberFormat="1" applyFont="1" applyFill="1" applyBorder="1" applyAlignment="1">
      <alignment horizontal="center"/>
    </xf>
    <xf numFmtId="165" fontId="64" fillId="0" borderId="31" xfId="299" applyNumberFormat="1" applyFont="1" applyFill="1" applyBorder="1" applyAlignment="1">
      <alignment horizontal="center"/>
    </xf>
    <xf numFmtId="167" fontId="64" fillId="0" borderId="28" xfId="204" applyNumberFormat="1" applyFont="1" applyBorder="1" applyAlignment="1">
      <alignment horizontal="center"/>
    </xf>
    <xf numFmtId="0" fontId="65" fillId="0" borderId="27" xfId="274" applyFont="1" applyBorder="1" applyAlignment="1">
      <alignment horizontal="center" wrapText="1"/>
      <protection/>
    </xf>
    <xf numFmtId="165" fontId="64" fillId="0" borderId="50" xfId="274" applyNumberFormat="1" applyFont="1" applyFill="1" applyBorder="1" applyAlignment="1">
      <alignment horizontal="center"/>
      <protection/>
    </xf>
    <xf numFmtId="165" fontId="64" fillId="0" borderId="27" xfId="274" applyNumberFormat="1" applyFont="1" applyFill="1" applyBorder="1" applyAlignment="1">
      <alignment horizontal="center"/>
      <protection/>
    </xf>
    <xf numFmtId="167" fontId="64" fillId="0" borderId="27" xfId="204" applyNumberFormat="1" applyFont="1" applyFill="1" applyBorder="1" applyAlignment="1">
      <alignment horizontal="center"/>
    </xf>
    <xf numFmtId="165" fontId="64" fillId="0" borderId="52" xfId="299" applyNumberFormat="1" applyFont="1" applyFill="1" applyBorder="1" applyAlignment="1">
      <alignment horizontal="center"/>
    </xf>
    <xf numFmtId="165" fontId="64" fillId="0" borderId="50" xfId="299" applyNumberFormat="1" applyFont="1" applyFill="1" applyBorder="1" applyAlignment="1">
      <alignment horizontal="center"/>
    </xf>
    <xf numFmtId="165" fontId="64" fillId="0" borderId="27" xfId="299" applyNumberFormat="1" applyFont="1" applyFill="1" applyBorder="1" applyAlignment="1">
      <alignment horizontal="center"/>
    </xf>
    <xf numFmtId="167" fontId="64" fillId="0" borderId="27" xfId="204" applyNumberFormat="1" applyFont="1" applyBorder="1" applyAlignment="1">
      <alignment horizontal="center"/>
    </xf>
    <xf numFmtId="165" fontId="64" fillId="0" borderId="0" xfId="274" applyNumberFormat="1" applyFont="1" applyFill="1" applyBorder="1" applyAlignment="1">
      <alignment horizontal="center"/>
      <protection/>
    </xf>
    <xf numFmtId="165" fontId="64" fillId="0" borderId="0" xfId="274" applyNumberFormat="1" applyFont="1" applyBorder="1" applyAlignment="1">
      <alignment horizontal="center"/>
      <protection/>
    </xf>
    <xf numFmtId="0" fontId="66" fillId="0" borderId="0" xfId="274" applyFont="1" applyBorder="1" applyAlignment="1">
      <alignment horizontal="center" wrapText="1"/>
      <protection/>
    </xf>
    <xf numFmtId="0" fontId="66" fillId="0" borderId="0" xfId="274" applyFont="1">
      <alignment/>
      <protection/>
    </xf>
    <xf numFmtId="165" fontId="64" fillId="0" borderId="0" xfId="274" applyNumberFormat="1" applyFont="1" applyAlignment="1">
      <alignment horizontal="center"/>
      <protection/>
    </xf>
    <xf numFmtId="165" fontId="64" fillId="0" borderId="0" xfId="299" applyNumberFormat="1" applyFont="1" applyBorder="1" applyAlignment="1">
      <alignment horizontal="center"/>
    </xf>
    <xf numFmtId="168" fontId="64" fillId="0" borderId="0" xfId="207" applyNumberFormat="1" applyFont="1" applyFill="1" applyBorder="1" applyAlignment="1">
      <alignment horizontal="center"/>
    </xf>
    <xf numFmtId="165" fontId="64" fillId="0" borderId="28" xfId="299" applyNumberFormat="1" applyFont="1" applyBorder="1" applyAlignment="1">
      <alignment horizontal="center"/>
    </xf>
    <xf numFmtId="168" fontId="64" fillId="0" borderId="28" xfId="207" applyNumberFormat="1" applyFont="1" applyFill="1" applyBorder="1" applyAlignment="1">
      <alignment horizontal="center"/>
    </xf>
    <xf numFmtId="168" fontId="64" fillId="0" borderId="28" xfId="207" applyNumberFormat="1" applyFont="1" applyBorder="1" applyAlignment="1">
      <alignment horizontal="center"/>
    </xf>
    <xf numFmtId="165" fontId="64" fillId="0" borderId="27" xfId="299" applyNumberFormat="1" applyFont="1" applyBorder="1" applyAlignment="1">
      <alignment horizontal="center"/>
    </xf>
    <xf numFmtId="168" fontId="64" fillId="0" borderId="27" xfId="207" applyNumberFormat="1" applyFont="1" applyBorder="1" applyAlignment="1">
      <alignment horizontal="center"/>
    </xf>
    <xf numFmtId="0" fontId="64" fillId="0" borderId="23" xfId="274" applyFont="1" applyBorder="1">
      <alignment/>
      <protection/>
    </xf>
    <xf numFmtId="0" fontId="65" fillId="0" borderId="38" xfId="275" applyFont="1" applyBorder="1" applyAlignment="1">
      <alignment horizontal="right"/>
      <protection/>
    </xf>
    <xf numFmtId="0" fontId="65" fillId="0" borderId="32" xfId="275" applyFont="1" applyBorder="1" applyAlignment="1">
      <alignment horizontal="right"/>
      <protection/>
    </xf>
    <xf numFmtId="0" fontId="65" fillId="0" borderId="39" xfId="275" applyFont="1" applyBorder="1" applyAlignment="1">
      <alignment horizontal="right"/>
      <protection/>
    </xf>
    <xf numFmtId="43" fontId="0" fillId="0" borderId="0" xfId="204" applyFont="1" applyBorder="1" applyAlignment="1">
      <alignment horizontal="center"/>
    </xf>
    <xf numFmtId="43" fontId="0" fillId="0" borderId="0" xfId="204" applyFont="1" applyBorder="1" applyAlignment="1">
      <alignment/>
    </xf>
    <xf numFmtId="43" fontId="6" fillId="0" borderId="0" xfId="204" applyFont="1" applyBorder="1" applyAlignment="1">
      <alignment wrapText="1"/>
    </xf>
    <xf numFmtId="43" fontId="2" fillId="0" borderId="0" xfId="204" applyFont="1" applyBorder="1" applyAlignment="1">
      <alignment horizontal="center"/>
    </xf>
    <xf numFmtId="0" fontId="2" fillId="0" borderId="31" xfId="274" applyFont="1" applyBorder="1" applyAlignment="1">
      <alignment horizontal="center" vertical="center"/>
      <protection/>
    </xf>
    <xf numFmtId="0" fontId="35" fillId="0" borderId="0" xfId="0" applyFont="1" applyBorder="1" applyAlignment="1">
      <alignment/>
    </xf>
    <xf numFmtId="43" fontId="0" fillId="0" borderId="0" xfId="204" applyFont="1" applyAlignment="1">
      <alignment/>
    </xf>
    <xf numFmtId="9" fontId="0" fillId="0" borderId="0" xfId="298" applyFont="1" applyAlignment="1">
      <alignment/>
    </xf>
    <xf numFmtId="165" fontId="0" fillId="0" borderId="30" xfId="298" applyNumberFormat="1" applyFont="1" applyFill="1" applyBorder="1" applyAlignment="1">
      <alignment horizontal="center"/>
    </xf>
    <xf numFmtId="165" fontId="64" fillId="0" borderId="0" xfId="274" applyNumberFormat="1" applyFont="1" applyBorder="1">
      <alignment/>
      <protection/>
    </xf>
    <xf numFmtId="0" fontId="2" fillId="0" borderId="0" xfId="0" applyFont="1" applyFill="1" applyBorder="1" applyAlignment="1">
      <alignment horizontal="center"/>
    </xf>
    <xf numFmtId="164" fontId="9" fillId="0" borderId="0" xfId="0" applyNumberFormat="1" applyFont="1" applyFill="1" applyBorder="1" applyAlignment="1">
      <alignment horizontal="center"/>
    </xf>
    <xf numFmtId="0" fontId="7" fillId="0" borderId="0" xfId="0" applyFont="1" applyBorder="1" applyAlignment="1">
      <alignment horizontal="center"/>
    </xf>
    <xf numFmtId="165" fontId="9" fillId="0" borderId="0" xfId="0" applyNumberFormat="1" applyFont="1" applyAlignment="1">
      <alignment horizontal="center"/>
    </xf>
    <xf numFmtId="165" fontId="4" fillId="0" borderId="0" xfId="0" applyNumberFormat="1" applyFont="1" applyAlignment="1">
      <alignment horizontal="center"/>
    </xf>
    <xf numFmtId="165" fontId="0" fillId="0" borderId="0" xfId="0" applyNumberFormat="1" applyFont="1" applyAlignment="1">
      <alignment horizontal="center"/>
    </xf>
    <xf numFmtId="0" fontId="0" fillId="0" borderId="0" xfId="275" applyAlignment="1">
      <alignment horizontal="center"/>
      <protection/>
    </xf>
    <xf numFmtId="0" fontId="10" fillId="0" borderId="0" xfId="275" applyFont="1" applyAlignment="1">
      <alignment horizontal="center"/>
      <protection/>
    </xf>
    <xf numFmtId="0" fontId="2" fillId="0" borderId="0" xfId="275" applyFont="1" applyAlignment="1">
      <alignment horizontal="center"/>
      <protection/>
    </xf>
    <xf numFmtId="0" fontId="0" fillId="0" borderId="0" xfId="275" applyFont="1" applyAlignment="1">
      <alignment horizontal="center"/>
      <protection/>
    </xf>
    <xf numFmtId="0" fontId="6" fillId="0" borderId="0" xfId="0" applyFont="1" applyBorder="1" applyAlignment="1">
      <alignment horizontal="center"/>
    </xf>
    <xf numFmtId="164" fontId="0" fillId="0" borderId="0" xfId="0" applyNumberFormat="1" applyFont="1" applyBorder="1" applyAlignment="1">
      <alignment horizontal="center"/>
    </xf>
    <xf numFmtId="164" fontId="9" fillId="0" borderId="0" xfId="0" applyNumberFormat="1"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center"/>
    </xf>
    <xf numFmtId="164" fontId="9" fillId="0" borderId="0" xfId="276" applyNumberFormat="1" applyFont="1" applyBorder="1" applyAlignment="1">
      <alignment horizontal="center"/>
      <protection/>
    </xf>
    <xf numFmtId="0" fontId="3" fillId="0" borderId="0" xfId="276" applyFont="1" applyBorder="1" applyAlignment="1">
      <alignment horizontal="center"/>
      <protection/>
    </xf>
    <xf numFmtId="0" fontId="4" fillId="0" borderId="0" xfId="276" applyFont="1" applyBorder="1" applyAlignment="1">
      <alignment horizontal="center"/>
      <protection/>
    </xf>
    <xf numFmtId="0" fontId="5" fillId="0" borderId="0" xfId="276" applyFont="1" applyBorder="1" applyAlignment="1">
      <alignment horizontal="center"/>
      <protection/>
    </xf>
    <xf numFmtId="0" fontId="2" fillId="0" borderId="0" xfId="276" applyFont="1" applyBorder="1" applyAlignment="1">
      <alignment horizontal="center"/>
      <protection/>
    </xf>
    <xf numFmtId="0" fontId="67" fillId="0" borderId="0" xfId="276" applyFont="1" applyBorder="1" applyAlignment="1">
      <alignment horizontal="center"/>
      <protection/>
    </xf>
    <xf numFmtId="0" fontId="72" fillId="0" borderId="0" xfId="275" applyFont="1" applyAlignment="1">
      <alignment horizontal="left" vertical="center" wrapText="1"/>
      <protection/>
    </xf>
    <xf numFmtId="164" fontId="73" fillId="0" borderId="0" xfId="276" applyNumberFormat="1" applyFont="1" applyBorder="1" applyAlignment="1">
      <alignment horizontal="center"/>
      <protection/>
    </xf>
    <xf numFmtId="0" fontId="68" fillId="0" borderId="0" xfId="276" applyFont="1" applyBorder="1" applyAlignment="1">
      <alignment horizontal="center"/>
      <protection/>
    </xf>
    <xf numFmtId="0" fontId="69" fillId="0" borderId="0" xfId="276" applyFont="1" applyBorder="1" applyAlignment="1">
      <alignment horizontal="center"/>
      <protection/>
    </xf>
    <xf numFmtId="0" fontId="70" fillId="0" borderId="0" xfId="276" applyFont="1" applyBorder="1" applyAlignment="1">
      <alignment horizontal="center"/>
      <protection/>
    </xf>
    <xf numFmtId="0" fontId="65" fillId="0" borderId="0" xfId="276" applyFont="1" applyBorder="1" applyAlignment="1">
      <alignment horizontal="center"/>
      <protection/>
    </xf>
    <xf numFmtId="0" fontId="67" fillId="0" borderId="0" xfId="275" applyFont="1" applyBorder="1" applyAlignment="1">
      <alignment horizontal="center"/>
      <protection/>
    </xf>
    <xf numFmtId="164" fontId="73" fillId="0" borderId="0" xfId="275" applyNumberFormat="1" applyFont="1" applyBorder="1" applyAlignment="1">
      <alignment horizontal="center"/>
      <protection/>
    </xf>
    <xf numFmtId="0" fontId="68" fillId="0" borderId="0" xfId="275" applyFont="1" applyBorder="1" applyAlignment="1">
      <alignment horizontal="center"/>
      <protection/>
    </xf>
    <xf numFmtId="0" fontId="69" fillId="0" borderId="0" xfId="275" applyFont="1" applyBorder="1" applyAlignment="1">
      <alignment horizontal="center"/>
      <protection/>
    </xf>
    <xf numFmtId="0" fontId="70" fillId="0" borderId="0" xfId="275" applyFont="1" applyBorder="1" applyAlignment="1">
      <alignment horizontal="center"/>
      <protection/>
    </xf>
    <xf numFmtId="0" fontId="65" fillId="0" borderId="0" xfId="275" applyFont="1" applyBorder="1" applyAlignment="1">
      <alignment horizontal="center"/>
      <protection/>
    </xf>
    <xf numFmtId="0" fontId="65" fillId="0" borderId="21" xfId="275" applyFont="1" applyBorder="1" applyAlignment="1">
      <alignment horizontal="center"/>
      <protection/>
    </xf>
    <xf numFmtId="0" fontId="65" fillId="0" borderId="28" xfId="275" applyFont="1" applyBorder="1" applyAlignment="1">
      <alignment horizontal="center"/>
      <protection/>
    </xf>
    <xf numFmtId="0" fontId="65" fillId="0" borderId="31" xfId="275" applyFont="1" applyBorder="1" applyAlignment="1">
      <alignment horizontal="center"/>
      <protection/>
    </xf>
    <xf numFmtId="3" fontId="65" fillId="0" borderId="20" xfId="275" applyNumberFormat="1" applyFont="1" applyFill="1" applyBorder="1" applyAlignment="1">
      <alignment horizontal="center"/>
      <protection/>
    </xf>
    <xf numFmtId="3" fontId="65" fillId="0" borderId="40" xfId="275" applyNumberFormat="1" applyFont="1" applyFill="1" applyBorder="1" applyAlignment="1">
      <alignment horizontal="center"/>
      <protection/>
    </xf>
    <xf numFmtId="3" fontId="65" fillId="0" borderId="33" xfId="275" applyNumberFormat="1" applyFont="1" applyFill="1" applyBorder="1" applyAlignment="1">
      <alignment horizontal="center"/>
      <protection/>
    </xf>
    <xf numFmtId="0" fontId="13" fillId="0" borderId="0" xfId="275" applyFont="1" applyAlignment="1">
      <alignment horizontal="left" vertical="center" wrapText="1"/>
      <protection/>
    </xf>
    <xf numFmtId="165" fontId="6" fillId="0" borderId="28" xfId="275" applyNumberFormat="1" applyFont="1" applyFill="1" applyBorder="1" applyAlignment="1">
      <alignment horizontal="center"/>
      <protection/>
    </xf>
    <xf numFmtId="165" fontId="6" fillId="0" borderId="0" xfId="275" applyNumberFormat="1" applyFont="1" applyBorder="1" applyAlignment="1">
      <alignment horizontal="center"/>
      <protection/>
    </xf>
    <xf numFmtId="0" fontId="2" fillId="0" borderId="20" xfId="275" applyFont="1" applyBorder="1" applyAlignment="1">
      <alignment horizontal="center"/>
      <protection/>
    </xf>
    <xf numFmtId="0" fontId="2" fillId="0" borderId="40" xfId="275" applyFont="1" applyBorder="1" applyAlignment="1">
      <alignment horizontal="center"/>
      <protection/>
    </xf>
    <xf numFmtId="164" fontId="9" fillId="0" borderId="0" xfId="275" applyNumberFormat="1" applyFont="1" applyBorder="1" applyAlignment="1">
      <alignment horizontal="center"/>
      <protection/>
    </xf>
    <xf numFmtId="165" fontId="3" fillId="0" borderId="0" xfId="275" applyNumberFormat="1" applyFont="1" applyBorder="1" applyAlignment="1">
      <alignment horizontal="center"/>
      <protection/>
    </xf>
    <xf numFmtId="165" fontId="4" fillId="0" borderId="0" xfId="275" applyNumberFormat="1" applyFont="1" applyBorder="1" applyAlignment="1">
      <alignment horizontal="center" wrapText="1"/>
      <protection/>
    </xf>
    <xf numFmtId="165" fontId="4" fillId="0" borderId="0" xfId="275" applyNumberFormat="1" applyFont="1" applyAlignment="1">
      <alignment horizontal="center" wrapText="1"/>
      <protection/>
    </xf>
    <xf numFmtId="165" fontId="5" fillId="0" borderId="0" xfId="275" applyNumberFormat="1" applyFont="1" applyBorder="1" applyAlignment="1">
      <alignment horizontal="center" wrapText="1"/>
      <protection/>
    </xf>
    <xf numFmtId="165" fontId="6" fillId="0" borderId="0" xfId="275" applyNumberFormat="1" applyFont="1" applyBorder="1" applyAlignment="1">
      <alignment horizontal="center" wrapText="1"/>
      <protection/>
    </xf>
    <xf numFmtId="165" fontId="6" fillId="0" borderId="28" xfId="275" applyNumberFormat="1" applyFont="1" applyBorder="1" applyAlignment="1">
      <alignment horizontal="center" wrapText="1"/>
      <protection/>
    </xf>
    <xf numFmtId="0" fontId="6" fillId="0" borderId="28" xfId="275" applyFont="1" applyBorder="1" applyAlignment="1">
      <alignment horizontal="center"/>
      <protection/>
    </xf>
    <xf numFmtId="165" fontId="6" fillId="0" borderId="28" xfId="275" applyNumberFormat="1" applyFont="1" applyBorder="1" applyAlignment="1">
      <alignment horizontal="center"/>
      <protection/>
    </xf>
    <xf numFmtId="0" fontId="9" fillId="0" borderId="0" xfId="275" applyFont="1" applyBorder="1" applyAlignment="1">
      <alignment horizontal="center"/>
      <protection/>
    </xf>
    <xf numFmtId="0" fontId="65" fillId="0" borderId="40" xfId="274" applyFont="1" applyBorder="1" applyAlignment="1">
      <alignment horizontal="center"/>
      <protection/>
    </xf>
    <xf numFmtId="165" fontId="66" fillId="0" borderId="28" xfId="274" applyNumberFormat="1" applyFont="1" applyFill="1" applyBorder="1" applyAlignment="1">
      <alignment horizontal="center"/>
      <protection/>
    </xf>
    <xf numFmtId="165" fontId="66" fillId="0" borderId="0" xfId="274" applyNumberFormat="1" applyFont="1" applyBorder="1" applyAlignment="1">
      <alignment horizontal="center"/>
      <protection/>
    </xf>
    <xf numFmtId="165" fontId="66" fillId="0" borderId="28" xfId="274" applyNumberFormat="1" applyFont="1" applyBorder="1" applyAlignment="1">
      <alignment horizontal="center" wrapText="1"/>
      <protection/>
    </xf>
    <xf numFmtId="0" fontId="65" fillId="0" borderId="20" xfId="274" applyFont="1" applyBorder="1" applyAlignment="1">
      <alignment horizontal="center"/>
      <protection/>
    </xf>
    <xf numFmtId="0" fontId="72" fillId="0" borderId="0" xfId="274" applyFont="1" applyAlignment="1">
      <alignment horizontal="left" vertical="center" wrapText="1"/>
      <protection/>
    </xf>
    <xf numFmtId="165" fontId="69" fillId="0" borderId="0" xfId="274" applyNumberFormat="1" applyFont="1" applyAlignment="1">
      <alignment horizontal="center" wrapText="1"/>
      <protection/>
    </xf>
    <xf numFmtId="0" fontId="73" fillId="0" borderId="0" xfId="274" applyFont="1" applyAlignment="1">
      <alignment horizontal="center"/>
      <protection/>
    </xf>
    <xf numFmtId="165" fontId="68" fillId="0" borderId="0" xfId="274" applyNumberFormat="1" applyFont="1" applyBorder="1" applyAlignment="1">
      <alignment horizontal="center"/>
      <protection/>
    </xf>
    <xf numFmtId="165" fontId="69" fillId="0" borderId="0" xfId="274" applyNumberFormat="1" applyFont="1" applyBorder="1" applyAlignment="1">
      <alignment horizontal="center" wrapText="1"/>
      <protection/>
    </xf>
    <xf numFmtId="165" fontId="66" fillId="0" borderId="0" xfId="274" applyNumberFormat="1" applyFont="1" applyBorder="1" applyAlignment="1">
      <alignment horizontal="center" wrapText="1"/>
      <protection/>
    </xf>
    <xf numFmtId="0" fontId="72" fillId="0" borderId="0" xfId="274" applyFont="1" applyAlignment="1">
      <alignment horizontal="left" vertical="top" wrapText="1"/>
      <protection/>
    </xf>
    <xf numFmtId="0" fontId="69" fillId="0" borderId="0" xfId="274" applyFont="1" applyAlignment="1">
      <alignment horizontal="center"/>
      <protection/>
    </xf>
    <xf numFmtId="16" fontId="2" fillId="0" borderId="38" xfId="274" applyNumberFormat="1" applyFont="1" applyBorder="1" applyAlignment="1">
      <alignment horizontal="center" vertical="center"/>
      <protection/>
    </xf>
    <xf numFmtId="16" fontId="2" fillId="0" borderId="32" xfId="274" applyNumberFormat="1" applyFont="1" applyBorder="1" applyAlignment="1">
      <alignment horizontal="center" vertical="center"/>
      <protection/>
    </xf>
    <xf numFmtId="165" fontId="2" fillId="0" borderId="38" xfId="274" applyNumberFormat="1" applyFont="1" applyBorder="1" applyAlignment="1">
      <alignment horizontal="center" vertical="center" wrapText="1"/>
      <protection/>
    </xf>
    <xf numFmtId="165" fontId="2" fillId="0" borderId="32" xfId="274" applyNumberFormat="1" applyFont="1" applyBorder="1" applyAlignment="1">
      <alignment horizontal="center" vertical="center" wrapText="1"/>
      <protection/>
    </xf>
    <xf numFmtId="165" fontId="6" fillId="0" borderId="20" xfId="274" applyNumberFormat="1" applyFont="1" applyBorder="1" applyAlignment="1">
      <alignment horizontal="center" vertical="center" wrapText="1"/>
      <protection/>
    </xf>
    <xf numFmtId="165" fontId="6" fillId="0" borderId="40" xfId="274" applyNumberFormat="1" applyFont="1" applyBorder="1" applyAlignment="1">
      <alignment horizontal="center" vertical="center" wrapText="1"/>
      <protection/>
    </xf>
    <xf numFmtId="165" fontId="6" fillId="0" borderId="33" xfId="274" applyNumberFormat="1" applyFont="1" applyBorder="1" applyAlignment="1">
      <alignment horizontal="center" vertical="center" wrapText="1"/>
      <protection/>
    </xf>
    <xf numFmtId="165" fontId="6" fillId="0" borderId="0" xfId="274" applyNumberFormat="1" applyFont="1" applyBorder="1" applyAlignment="1">
      <alignment horizontal="center" vertical="center" wrapText="1"/>
      <protection/>
    </xf>
    <xf numFmtId="165" fontId="11" fillId="0" borderId="0" xfId="274" applyNumberFormat="1" applyFont="1" applyBorder="1" applyAlignment="1">
      <alignment horizontal="center" vertical="center" wrapText="1"/>
      <protection/>
    </xf>
    <xf numFmtId="0" fontId="6" fillId="0" borderId="0" xfId="274" applyFont="1" applyBorder="1" applyAlignment="1">
      <alignment horizontal="center" wrapText="1"/>
      <protection/>
    </xf>
    <xf numFmtId="165" fontId="5" fillId="0" borderId="0" xfId="274" applyNumberFormat="1" applyFont="1" applyBorder="1" applyAlignment="1">
      <alignment horizontal="center" wrapText="1"/>
      <protection/>
    </xf>
    <xf numFmtId="165" fontId="4" fillId="0" borderId="0" xfId="274" applyNumberFormat="1" applyFont="1" applyBorder="1" applyAlignment="1">
      <alignment horizontal="center" wrapText="1"/>
      <protection/>
    </xf>
    <xf numFmtId="165" fontId="3" fillId="0" borderId="0" xfId="274" applyNumberFormat="1" applyFont="1" applyBorder="1" applyAlignment="1">
      <alignment horizontal="center"/>
      <protection/>
    </xf>
    <xf numFmtId="0" fontId="2" fillId="0" borderId="38" xfId="274" applyFont="1" applyBorder="1" applyAlignment="1">
      <alignment horizontal="center" vertical="center" wrapText="1"/>
      <protection/>
    </xf>
    <xf numFmtId="0" fontId="2" fillId="0" borderId="32" xfId="274" applyFont="1" applyBorder="1" applyAlignment="1">
      <alignment horizontal="center" vertical="center" wrapText="1"/>
      <protection/>
    </xf>
    <xf numFmtId="14" fontId="2" fillId="0" borderId="38" xfId="274" applyNumberFormat="1" applyFont="1" applyBorder="1" applyAlignment="1">
      <alignment horizontal="center" vertical="center"/>
      <protection/>
    </xf>
    <xf numFmtId="14" fontId="2" fillId="0" borderId="32" xfId="274" applyNumberFormat="1" applyFont="1" applyBorder="1" applyAlignment="1">
      <alignment horizontal="center" vertical="center"/>
      <protection/>
    </xf>
    <xf numFmtId="0" fontId="2" fillId="0" borderId="20" xfId="274" applyFont="1" applyBorder="1" applyAlignment="1">
      <alignment horizontal="center"/>
      <protection/>
    </xf>
    <xf numFmtId="0" fontId="2" fillId="0" borderId="40" xfId="274" applyFont="1" applyBorder="1" applyAlignment="1">
      <alignment horizontal="center"/>
      <protection/>
    </xf>
    <xf numFmtId="165" fontId="6" fillId="0" borderId="28" xfId="274" applyNumberFormat="1" applyFont="1" applyBorder="1" applyAlignment="1">
      <alignment horizontal="center" wrapText="1"/>
      <protection/>
    </xf>
    <xf numFmtId="165" fontId="6" fillId="0" borderId="0" xfId="274" applyNumberFormat="1" applyFont="1" applyBorder="1" applyAlignment="1">
      <alignment horizontal="center" wrapText="1"/>
      <protection/>
    </xf>
  </cellXfs>
  <cellStyles count="308">
    <cellStyle name="Normal" xfId="0"/>
    <cellStyle name="20% - Accent1" xfId="15"/>
    <cellStyle name="20% - Accent1 2" xfId="16"/>
    <cellStyle name="20% - Accent1 3" xfId="17"/>
    <cellStyle name="20% - Accent1 4" xfId="18"/>
    <cellStyle name="20% - Accent1 5" xfId="19"/>
    <cellStyle name="20% - Accent1 6" xfId="20"/>
    <cellStyle name="20% - Accent1 7" xfId="21"/>
    <cellStyle name="20% - Accent2" xfId="22"/>
    <cellStyle name="20% - Accent2 2" xfId="23"/>
    <cellStyle name="20% - Accent2 3" xfId="24"/>
    <cellStyle name="20% - Accent2 4" xfId="25"/>
    <cellStyle name="20% - Accent2 5" xfId="26"/>
    <cellStyle name="20% - Accent2 6" xfId="27"/>
    <cellStyle name="20% - Accent2 7" xfId="28"/>
    <cellStyle name="20% - Accent3" xfId="29"/>
    <cellStyle name="20% - Accent3 2" xfId="30"/>
    <cellStyle name="20% - Accent3 3" xfId="31"/>
    <cellStyle name="20% - Accent3 4" xfId="32"/>
    <cellStyle name="20% - Accent3 5" xfId="33"/>
    <cellStyle name="20% - Accent3 6" xfId="34"/>
    <cellStyle name="20% - Accent3 7" xfId="35"/>
    <cellStyle name="20% - Accent4" xfId="36"/>
    <cellStyle name="20% - Accent4 2" xfId="37"/>
    <cellStyle name="20% - Accent4 3" xfId="38"/>
    <cellStyle name="20% - Accent4 4" xfId="39"/>
    <cellStyle name="20% - Accent4 5" xfId="40"/>
    <cellStyle name="20% - Accent4 6" xfId="41"/>
    <cellStyle name="20% - Accent4 7" xfId="42"/>
    <cellStyle name="20% - Accent5" xfId="43"/>
    <cellStyle name="20% - Accent5 2" xfId="44"/>
    <cellStyle name="20% - Accent5 3" xfId="45"/>
    <cellStyle name="20% - Accent5 4" xfId="46"/>
    <cellStyle name="20% - Accent5 5" xfId="47"/>
    <cellStyle name="20% - Accent5 6" xfId="48"/>
    <cellStyle name="20% - Accent5 7" xfId="49"/>
    <cellStyle name="20% - Accent6" xfId="50"/>
    <cellStyle name="20% - Accent6 2" xfId="51"/>
    <cellStyle name="20% - Accent6 3" xfId="52"/>
    <cellStyle name="20% - Accent6 4" xfId="53"/>
    <cellStyle name="20% - Accent6 5" xfId="54"/>
    <cellStyle name="20% - Accent6 6" xfId="55"/>
    <cellStyle name="20% - Accent6 7" xfId="56"/>
    <cellStyle name="40% - Accent1" xfId="57"/>
    <cellStyle name="40% - Accent1 2" xfId="58"/>
    <cellStyle name="40% - Accent1 3" xfId="59"/>
    <cellStyle name="40% - Accent1 4" xfId="60"/>
    <cellStyle name="40% - Accent1 5" xfId="61"/>
    <cellStyle name="40% - Accent1 6" xfId="62"/>
    <cellStyle name="40% - Accent1 7" xfId="63"/>
    <cellStyle name="40% - Accent2" xfId="64"/>
    <cellStyle name="40% - Accent2 2" xfId="65"/>
    <cellStyle name="40% - Accent2 3" xfId="66"/>
    <cellStyle name="40% - Accent2 4" xfId="67"/>
    <cellStyle name="40% - Accent2 5" xfId="68"/>
    <cellStyle name="40% - Accent2 6" xfId="69"/>
    <cellStyle name="40% - Accent2 7" xfId="70"/>
    <cellStyle name="40% - Accent3" xfId="71"/>
    <cellStyle name="40% - Accent3 2" xfId="72"/>
    <cellStyle name="40% - Accent3 3" xfId="73"/>
    <cellStyle name="40% - Accent3 4" xfId="74"/>
    <cellStyle name="40% - Accent3 5" xfId="75"/>
    <cellStyle name="40% - Accent3 6" xfId="76"/>
    <cellStyle name="40% - Accent3 7" xfId="77"/>
    <cellStyle name="40% - Accent4" xfId="78"/>
    <cellStyle name="40% - Accent4 2" xfId="79"/>
    <cellStyle name="40% - Accent4 3" xfId="80"/>
    <cellStyle name="40% - Accent4 4" xfId="81"/>
    <cellStyle name="40% - Accent4 5" xfId="82"/>
    <cellStyle name="40% - Accent4 6" xfId="83"/>
    <cellStyle name="40% - Accent4 7" xfId="84"/>
    <cellStyle name="40% - Accent5" xfId="85"/>
    <cellStyle name="40% - Accent5 2" xfId="86"/>
    <cellStyle name="40% - Accent5 3" xfId="87"/>
    <cellStyle name="40% - Accent5 4" xfId="88"/>
    <cellStyle name="40% - Accent5 5" xfId="89"/>
    <cellStyle name="40% - Accent5 6" xfId="90"/>
    <cellStyle name="40% - Accent5 7" xfId="91"/>
    <cellStyle name="40% - Accent6" xfId="92"/>
    <cellStyle name="40% - Accent6 2" xfId="93"/>
    <cellStyle name="40% - Accent6 3" xfId="94"/>
    <cellStyle name="40% - Accent6 4" xfId="95"/>
    <cellStyle name="40% - Accent6 5" xfId="96"/>
    <cellStyle name="40% - Accent6 6" xfId="97"/>
    <cellStyle name="40% - Accent6 7" xfId="98"/>
    <cellStyle name="60% - Accent1" xfId="99"/>
    <cellStyle name="60% - Accent1 2" xfId="100"/>
    <cellStyle name="60% - Accent1 3" xfId="101"/>
    <cellStyle name="60% - Accent1 4" xfId="102"/>
    <cellStyle name="60% - Accent1 5" xfId="103"/>
    <cellStyle name="60% - Accent1 6" xfId="104"/>
    <cellStyle name="60% - Accent1 7" xfId="105"/>
    <cellStyle name="60% - Accent2" xfId="106"/>
    <cellStyle name="60% - Accent2 2" xfId="107"/>
    <cellStyle name="60% - Accent2 3" xfId="108"/>
    <cellStyle name="60% - Accent2 4" xfId="109"/>
    <cellStyle name="60% - Accent2 5" xfId="110"/>
    <cellStyle name="60% - Accent2 6" xfId="111"/>
    <cellStyle name="60% - Accent2 7" xfId="112"/>
    <cellStyle name="60% - Accent3" xfId="113"/>
    <cellStyle name="60% - Accent3 2" xfId="114"/>
    <cellStyle name="60% - Accent3 3" xfId="115"/>
    <cellStyle name="60% - Accent3 4" xfId="116"/>
    <cellStyle name="60% - Accent3 5" xfId="117"/>
    <cellStyle name="60% - Accent3 6" xfId="118"/>
    <cellStyle name="60% - Accent3 7" xfId="119"/>
    <cellStyle name="60% - Accent4" xfId="120"/>
    <cellStyle name="60% - Accent4 2" xfId="121"/>
    <cellStyle name="60% - Accent4 3" xfId="122"/>
    <cellStyle name="60% - Accent4 4" xfId="123"/>
    <cellStyle name="60% - Accent4 5" xfId="124"/>
    <cellStyle name="60% - Accent4 6" xfId="125"/>
    <cellStyle name="60% - Accent4 7" xfId="126"/>
    <cellStyle name="60% - Accent5" xfId="127"/>
    <cellStyle name="60% - Accent5 2" xfId="128"/>
    <cellStyle name="60% - Accent5 3" xfId="129"/>
    <cellStyle name="60% - Accent5 4" xfId="130"/>
    <cellStyle name="60% - Accent5 5" xfId="131"/>
    <cellStyle name="60% - Accent5 6" xfId="132"/>
    <cellStyle name="60% - Accent5 7" xfId="133"/>
    <cellStyle name="60% - Accent6" xfId="134"/>
    <cellStyle name="60% - Accent6 2" xfId="135"/>
    <cellStyle name="60% - Accent6 3" xfId="136"/>
    <cellStyle name="60% - Accent6 4" xfId="137"/>
    <cellStyle name="60% - Accent6 5" xfId="138"/>
    <cellStyle name="60% - Accent6 6" xfId="139"/>
    <cellStyle name="60% - Accent6 7" xfId="140"/>
    <cellStyle name="Accent1" xfId="141"/>
    <cellStyle name="Accent1 2" xfId="142"/>
    <cellStyle name="Accent1 3" xfId="143"/>
    <cellStyle name="Accent1 4" xfId="144"/>
    <cellStyle name="Accent1 5" xfId="145"/>
    <cellStyle name="Accent1 6" xfId="146"/>
    <cellStyle name="Accent1 7" xfId="147"/>
    <cellStyle name="Accent2" xfId="148"/>
    <cellStyle name="Accent2 2" xfId="149"/>
    <cellStyle name="Accent2 3" xfId="150"/>
    <cellStyle name="Accent2 4" xfId="151"/>
    <cellStyle name="Accent2 5" xfId="152"/>
    <cellStyle name="Accent2 6" xfId="153"/>
    <cellStyle name="Accent2 7" xfId="154"/>
    <cellStyle name="Accent3" xfId="155"/>
    <cellStyle name="Accent3 2" xfId="156"/>
    <cellStyle name="Accent3 3" xfId="157"/>
    <cellStyle name="Accent3 4" xfId="158"/>
    <cellStyle name="Accent3 5" xfId="159"/>
    <cellStyle name="Accent3 6" xfId="160"/>
    <cellStyle name="Accent3 7" xfId="161"/>
    <cellStyle name="Accent4" xfId="162"/>
    <cellStyle name="Accent4 2" xfId="163"/>
    <cellStyle name="Accent4 3" xfId="164"/>
    <cellStyle name="Accent4 4" xfId="165"/>
    <cellStyle name="Accent4 5" xfId="166"/>
    <cellStyle name="Accent4 6" xfId="167"/>
    <cellStyle name="Accent4 7" xfId="168"/>
    <cellStyle name="Accent5" xfId="169"/>
    <cellStyle name="Accent5 2" xfId="170"/>
    <cellStyle name="Accent5 3" xfId="171"/>
    <cellStyle name="Accent5 4" xfId="172"/>
    <cellStyle name="Accent5 5" xfId="173"/>
    <cellStyle name="Accent5 6" xfId="174"/>
    <cellStyle name="Accent5 7" xfId="175"/>
    <cellStyle name="Accent6" xfId="176"/>
    <cellStyle name="Accent6 2" xfId="177"/>
    <cellStyle name="Accent6 3" xfId="178"/>
    <cellStyle name="Accent6 4" xfId="179"/>
    <cellStyle name="Accent6 5" xfId="180"/>
    <cellStyle name="Accent6 6" xfId="181"/>
    <cellStyle name="Accent6 7" xfId="182"/>
    <cellStyle name="Bad" xfId="183"/>
    <cellStyle name="Bad 2" xfId="184"/>
    <cellStyle name="Bad 3" xfId="185"/>
    <cellStyle name="Bad 4" xfId="186"/>
    <cellStyle name="Bad 5" xfId="187"/>
    <cellStyle name="Bad 6" xfId="188"/>
    <cellStyle name="Bad 7" xfId="189"/>
    <cellStyle name="Calculation" xfId="190"/>
    <cellStyle name="Calculation 2" xfId="191"/>
    <cellStyle name="Calculation 3" xfId="192"/>
    <cellStyle name="Calculation 4" xfId="193"/>
    <cellStyle name="Calculation 5" xfId="194"/>
    <cellStyle name="Calculation 6" xfId="195"/>
    <cellStyle name="Calculation 7" xfId="196"/>
    <cellStyle name="Check Cell" xfId="197"/>
    <cellStyle name="Check Cell 2" xfId="198"/>
    <cellStyle name="Check Cell 3" xfId="199"/>
    <cellStyle name="Check Cell 4" xfId="200"/>
    <cellStyle name="Check Cell 5" xfId="201"/>
    <cellStyle name="Check Cell 6" xfId="202"/>
    <cellStyle name="Check Cell 7" xfId="203"/>
    <cellStyle name="Comma" xfId="204"/>
    <cellStyle name="Comma [0]" xfId="205"/>
    <cellStyle name="Comma 2" xfId="206"/>
    <cellStyle name="Currency" xfId="207"/>
    <cellStyle name="Currency [0]" xfId="208"/>
    <cellStyle name="Currency 2" xfId="209"/>
    <cellStyle name="Explanatory Text" xfId="210"/>
    <cellStyle name="Explanatory Text 2" xfId="211"/>
    <cellStyle name="Explanatory Text 3" xfId="212"/>
    <cellStyle name="Explanatory Text 4" xfId="213"/>
    <cellStyle name="Explanatory Text 5" xfId="214"/>
    <cellStyle name="Explanatory Text 6" xfId="215"/>
    <cellStyle name="Explanatory Text 7" xfId="216"/>
    <cellStyle name="Good" xfId="217"/>
    <cellStyle name="Good 2" xfId="218"/>
    <cellStyle name="Good 3" xfId="219"/>
    <cellStyle name="Good 4" xfId="220"/>
    <cellStyle name="Good 5" xfId="221"/>
    <cellStyle name="Good 6" xfId="222"/>
    <cellStyle name="Good 7" xfId="223"/>
    <cellStyle name="Heading 1" xfId="224"/>
    <cellStyle name="Heading 1 2" xfId="225"/>
    <cellStyle name="Heading 1 3" xfId="226"/>
    <cellStyle name="Heading 1 4" xfId="227"/>
    <cellStyle name="Heading 1 5" xfId="228"/>
    <cellStyle name="Heading 1 6" xfId="229"/>
    <cellStyle name="Heading 1 7" xfId="230"/>
    <cellStyle name="Heading 2" xfId="231"/>
    <cellStyle name="Heading 2 2" xfId="232"/>
    <cellStyle name="Heading 2 3" xfId="233"/>
    <cellStyle name="Heading 2 4" xfId="234"/>
    <cellStyle name="Heading 2 5" xfId="235"/>
    <cellStyle name="Heading 2 6" xfId="236"/>
    <cellStyle name="Heading 2 7" xfId="237"/>
    <cellStyle name="Heading 3" xfId="238"/>
    <cellStyle name="Heading 3 2" xfId="239"/>
    <cellStyle name="Heading 3 3" xfId="240"/>
    <cellStyle name="Heading 3 4" xfId="241"/>
    <cellStyle name="Heading 3 5" xfId="242"/>
    <cellStyle name="Heading 3 6" xfId="243"/>
    <cellStyle name="Heading 3 7" xfId="244"/>
    <cellStyle name="Heading 4" xfId="245"/>
    <cellStyle name="Heading 4 2" xfId="246"/>
    <cellStyle name="Heading 4 3" xfId="247"/>
    <cellStyle name="Heading 4 4" xfId="248"/>
    <cellStyle name="Heading 4 5" xfId="249"/>
    <cellStyle name="Heading 4 6" xfId="250"/>
    <cellStyle name="Heading 4 7" xfId="251"/>
    <cellStyle name="Input" xfId="252"/>
    <cellStyle name="Input 2" xfId="253"/>
    <cellStyle name="Input 3" xfId="254"/>
    <cellStyle name="Input 4" xfId="255"/>
    <cellStyle name="Input 5" xfId="256"/>
    <cellStyle name="Input 6" xfId="257"/>
    <cellStyle name="Input 7" xfId="258"/>
    <cellStyle name="Linked Cell" xfId="259"/>
    <cellStyle name="Linked Cell 2" xfId="260"/>
    <cellStyle name="Linked Cell 3" xfId="261"/>
    <cellStyle name="Linked Cell 4" xfId="262"/>
    <cellStyle name="Linked Cell 5" xfId="263"/>
    <cellStyle name="Linked Cell 6" xfId="264"/>
    <cellStyle name="Linked Cell 7" xfId="265"/>
    <cellStyle name="Neutral" xfId="266"/>
    <cellStyle name="Neutral 2" xfId="267"/>
    <cellStyle name="Neutral 3" xfId="268"/>
    <cellStyle name="Neutral 4" xfId="269"/>
    <cellStyle name="Neutral 5" xfId="270"/>
    <cellStyle name="Neutral 6" xfId="271"/>
    <cellStyle name="Neutral 7" xfId="272"/>
    <cellStyle name="Normal 10" xfId="273"/>
    <cellStyle name="Normal 2" xfId="274"/>
    <cellStyle name="Normal 2 2" xfId="275"/>
    <cellStyle name="Normal 3" xfId="276"/>
    <cellStyle name="Normal 4" xfId="277"/>
    <cellStyle name="Normal 5" xfId="278"/>
    <cellStyle name="Normal 6" xfId="279"/>
    <cellStyle name="Normal 7" xfId="280"/>
    <cellStyle name="Normal 8" xfId="281"/>
    <cellStyle name="Normal 9" xfId="282"/>
    <cellStyle name="Normal_Sheet1" xfId="283"/>
    <cellStyle name="Note" xfId="284"/>
    <cellStyle name="Note 2" xfId="285"/>
    <cellStyle name="Note 3" xfId="286"/>
    <cellStyle name="Note 4" xfId="287"/>
    <cellStyle name="Note 5" xfId="288"/>
    <cellStyle name="Note 6" xfId="289"/>
    <cellStyle name="Note 7" xfId="290"/>
    <cellStyle name="Output" xfId="291"/>
    <cellStyle name="Output 2" xfId="292"/>
    <cellStyle name="Output 3" xfId="293"/>
    <cellStyle name="Output 4" xfId="294"/>
    <cellStyle name="Output 5" xfId="295"/>
    <cellStyle name="Output 6" xfId="296"/>
    <cellStyle name="Output 7" xfId="297"/>
    <cellStyle name="Percent" xfId="298"/>
    <cellStyle name="Percent 2" xfId="299"/>
    <cellStyle name="Percent 2 2" xfId="300"/>
    <cellStyle name="Title" xfId="301"/>
    <cellStyle name="Title 2" xfId="302"/>
    <cellStyle name="Title 3" xfId="303"/>
    <cellStyle name="Title 4" xfId="304"/>
    <cellStyle name="Title 5" xfId="305"/>
    <cellStyle name="Title 6" xfId="306"/>
    <cellStyle name="Title 7" xfId="307"/>
    <cellStyle name="Total" xfId="308"/>
    <cellStyle name="Total 2" xfId="309"/>
    <cellStyle name="Total 3" xfId="310"/>
    <cellStyle name="Total 4" xfId="311"/>
    <cellStyle name="Total 5" xfId="312"/>
    <cellStyle name="Total 6" xfId="313"/>
    <cellStyle name="Total 7" xfId="314"/>
    <cellStyle name="Warning Text" xfId="315"/>
    <cellStyle name="Warning Text 2" xfId="316"/>
    <cellStyle name="Warning Text 3" xfId="317"/>
    <cellStyle name="Warning Text 4" xfId="318"/>
    <cellStyle name="Warning Text 5" xfId="319"/>
    <cellStyle name="Warning Text 6" xfId="320"/>
    <cellStyle name="Warning Text 7" xfId="3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MODEL\Common\Sharon\ILEC\Common%2026%20Companies\2003-2005_A-E%20Ratios%20by%20Gender%20&amp;%20Smok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FINMODEL\Common\Sharon\ILEC\Common%2026%20Companies\2003-2005_A-E%20Ratios%20by%20Gender%20&amp;%20Smoker_Ul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x034307\LOCALS~1\Temp\notes7B2B20\ILEC_2004-2005_Exhibi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3-2005 DATA"/>
      <sheetName val="A-E by Gender and Smoker Status"/>
    </sheetNames>
    <sheetDataSet>
      <sheetData sheetId="0">
        <row r="3">
          <cell r="C3" t="str">
            <v>Non-Smoker</v>
          </cell>
          <cell r="D3">
            <v>30811</v>
          </cell>
          <cell r="E3">
            <v>37109.4741</v>
          </cell>
          <cell r="F3">
            <v>9641178.8979</v>
          </cell>
          <cell r="G3">
            <v>1701055060264.7993</v>
          </cell>
          <cell r="H3">
            <v>2970035983</v>
          </cell>
          <cell r="I3">
            <v>4212800680.8176</v>
          </cell>
        </row>
        <row r="4">
          <cell r="C4" t="str">
            <v>Smoker</v>
          </cell>
          <cell r="D4">
            <v>13914</v>
          </cell>
          <cell r="E4">
            <v>14236.6977</v>
          </cell>
          <cell r="F4">
            <v>1807829.518</v>
          </cell>
          <cell r="G4">
            <v>160817929058.2256</v>
          </cell>
          <cell r="H4">
            <v>715980055</v>
          </cell>
          <cell r="I4">
            <v>860144073.9675</v>
          </cell>
        </row>
        <row r="5">
          <cell r="C5" t="str">
            <v>Unknown</v>
          </cell>
          <cell r="D5">
            <v>9727</v>
          </cell>
          <cell r="E5">
            <v>9084.841</v>
          </cell>
          <cell r="F5">
            <v>1703502.4584</v>
          </cell>
          <cell r="G5">
            <v>44471105201.5952</v>
          </cell>
          <cell r="H5">
            <v>170417410</v>
          </cell>
          <cell r="I5">
            <v>210223898.5222</v>
          </cell>
        </row>
        <row r="6">
          <cell r="C6" t="str">
            <v>Non-Smoker</v>
          </cell>
          <cell r="D6">
            <v>19089</v>
          </cell>
          <cell r="E6">
            <v>23688.1644</v>
          </cell>
          <cell r="F6">
            <v>7841914.3236</v>
          </cell>
          <cell r="G6">
            <v>795109565252.3888</v>
          </cell>
          <cell r="H6">
            <v>1021663425</v>
          </cell>
          <cell r="I6">
            <v>1460377789.8351</v>
          </cell>
        </row>
        <row r="7">
          <cell r="C7" t="str">
            <v>Smoker</v>
          </cell>
          <cell r="D7">
            <v>9994</v>
          </cell>
          <cell r="E7">
            <v>10236.1143</v>
          </cell>
          <cell r="F7">
            <v>1380469.3969</v>
          </cell>
          <cell r="G7">
            <v>76923461369.5173</v>
          </cell>
          <cell r="H7">
            <v>297487623</v>
          </cell>
          <cell r="I7">
            <v>330659318.4459</v>
          </cell>
        </row>
        <row r="8">
          <cell r="C8" t="str">
            <v>Unknown</v>
          </cell>
          <cell r="D8">
            <v>10476</v>
          </cell>
          <cell r="E8">
            <v>10179.3042</v>
          </cell>
          <cell r="F8">
            <v>1748262.9082</v>
          </cell>
          <cell r="G8">
            <v>34209442618.6588</v>
          </cell>
          <cell r="H8">
            <v>82885806</v>
          </cell>
          <cell r="I8">
            <v>92630660.563</v>
          </cell>
        </row>
        <row r="9">
          <cell r="C9" t="str">
            <v>Non-Smoker</v>
          </cell>
          <cell r="D9">
            <v>33129</v>
          </cell>
          <cell r="E9">
            <v>41651.0472</v>
          </cell>
          <cell r="F9">
            <v>10177426.6061</v>
          </cell>
          <cell r="G9">
            <v>1984716992593.2556</v>
          </cell>
          <cell r="H9">
            <v>3352691514</v>
          </cell>
          <cell r="I9">
            <v>5024546816.7745</v>
          </cell>
        </row>
        <row r="10">
          <cell r="C10" t="str">
            <v>Smoker</v>
          </cell>
          <cell r="D10">
            <v>14387</v>
          </cell>
          <cell r="E10">
            <v>15023.9939</v>
          </cell>
          <cell r="F10">
            <v>1829160.278</v>
          </cell>
          <cell r="G10">
            <v>170264589914.1929</v>
          </cell>
          <cell r="H10">
            <v>780816580</v>
          </cell>
          <cell r="I10">
            <v>935188728.5674</v>
          </cell>
        </row>
        <row r="11">
          <cell r="C11" t="str">
            <v>Unknown</v>
          </cell>
          <cell r="D11">
            <v>7760</v>
          </cell>
          <cell r="E11">
            <v>7501.6422</v>
          </cell>
          <cell r="F11">
            <v>1464202.5817</v>
          </cell>
          <cell r="G11">
            <v>40530018417.02969</v>
          </cell>
          <cell r="H11">
            <v>152438525</v>
          </cell>
          <cell r="I11">
            <v>176575696.5366</v>
          </cell>
        </row>
        <row r="12">
          <cell r="C12" t="str">
            <v>Non-Smoker</v>
          </cell>
          <cell r="D12">
            <v>20937</v>
          </cell>
          <cell r="E12">
            <v>26741.3396</v>
          </cell>
          <cell r="F12">
            <v>8305859.0346</v>
          </cell>
          <cell r="G12">
            <v>936663378152.9332</v>
          </cell>
          <cell r="H12">
            <v>1250392638</v>
          </cell>
          <cell r="I12">
            <v>1768043198.6655</v>
          </cell>
        </row>
        <row r="13">
          <cell r="C13" t="str">
            <v>Smoker</v>
          </cell>
          <cell r="D13">
            <v>10710</v>
          </cell>
          <cell r="E13">
            <v>10930.1184</v>
          </cell>
          <cell r="F13">
            <v>1399344.4015</v>
          </cell>
          <cell r="G13">
            <v>81954393950.2364</v>
          </cell>
          <cell r="H13">
            <v>324582350</v>
          </cell>
          <cell r="I13">
            <v>365632752.5667</v>
          </cell>
        </row>
        <row r="14">
          <cell r="C14" t="str">
            <v>Unknown</v>
          </cell>
          <cell r="D14">
            <v>9191</v>
          </cell>
          <cell r="E14">
            <v>8699.39</v>
          </cell>
          <cell r="F14">
            <v>1530830.61</v>
          </cell>
          <cell r="G14">
            <v>32729928309.2022</v>
          </cell>
          <cell r="H14">
            <v>72609269</v>
          </cell>
          <cell r="I14">
            <v>83413156.4754</v>
          </cell>
        </row>
        <row r="15">
          <cell r="C15" t="str">
            <v>Non-Smoker</v>
          </cell>
          <cell r="D15">
            <v>35241</v>
          </cell>
          <cell r="E15">
            <v>45935.047566</v>
          </cell>
          <cell r="F15">
            <v>10822233.13481</v>
          </cell>
          <cell r="G15">
            <v>2423197367212.995</v>
          </cell>
          <cell r="H15">
            <v>3976072871</v>
          </cell>
          <cell r="I15">
            <v>6085298055.475313</v>
          </cell>
        </row>
        <row r="16">
          <cell r="C16" t="str">
            <v>Smoker</v>
          </cell>
          <cell r="D16">
            <v>14312</v>
          </cell>
          <cell r="E16">
            <v>15393.935754</v>
          </cell>
          <cell r="F16">
            <v>1706912.64931</v>
          </cell>
          <cell r="G16">
            <v>186332608155.7338</v>
          </cell>
          <cell r="H16">
            <v>883090907</v>
          </cell>
          <cell r="I16">
            <v>1022231085.582513</v>
          </cell>
        </row>
        <row r="17">
          <cell r="C17" t="str">
            <v>Unknown</v>
          </cell>
          <cell r="D17">
            <v>6013</v>
          </cell>
          <cell r="E17">
            <v>5981.42516</v>
          </cell>
          <cell r="F17">
            <v>1208498.26798</v>
          </cell>
          <cell r="G17">
            <v>37590742651.11996</v>
          </cell>
          <cell r="H17">
            <v>113026684</v>
          </cell>
          <cell r="I17">
            <v>142953261.04259</v>
          </cell>
        </row>
        <row r="18">
          <cell r="C18" t="str">
            <v>Non-Smoker</v>
          </cell>
          <cell r="D18">
            <v>22153</v>
          </cell>
          <cell r="E18">
            <v>29305.361785</v>
          </cell>
          <cell r="F18">
            <v>8751275.78595</v>
          </cell>
          <cell r="G18">
            <v>1094893794914.7987</v>
          </cell>
          <cell r="H18">
            <v>1402639963</v>
          </cell>
          <cell r="I18">
            <v>2069146855.354743</v>
          </cell>
        </row>
        <row r="19">
          <cell r="C19" t="str">
            <v>Smoker</v>
          </cell>
          <cell r="D19">
            <v>10827</v>
          </cell>
          <cell r="E19">
            <v>11294.238296</v>
          </cell>
          <cell r="F19">
            <v>1263261.78859</v>
          </cell>
          <cell r="G19">
            <v>81741601014.45264</v>
          </cell>
          <cell r="H19">
            <v>349849941</v>
          </cell>
          <cell r="I19">
            <v>392656305.617922</v>
          </cell>
        </row>
        <row r="20">
          <cell r="C20" t="str">
            <v>Unknown</v>
          </cell>
          <cell r="D20">
            <v>7416</v>
          </cell>
          <cell r="E20">
            <v>7303.536089</v>
          </cell>
          <cell r="F20">
            <v>1300059.57927</v>
          </cell>
          <cell r="G20">
            <v>32002569684.74777</v>
          </cell>
          <cell r="H20">
            <v>61584236</v>
          </cell>
          <cell r="I20">
            <v>73824997.120919</v>
          </cell>
        </row>
        <row r="24">
          <cell r="C24" t="str">
            <v>Non-Smoker</v>
          </cell>
          <cell r="D24">
            <v>33811</v>
          </cell>
          <cell r="E24">
            <v>40542</v>
          </cell>
          <cell r="F24">
            <v>10869728</v>
          </cell>
          <cell r="G24">
            <v>2026610330736.6309</v>
          </cell>
          <cell r="H24">
            <v>3423098971</v>
          </cell>
          <cell r="I24">
            <v>4883055813.7617</v>
          </cell>
        </row>
        <row r="25">
          <cell r="C25" t="str">
            <v>Smoker</v>
          </cell>
          <cell r="D25">
            <v>14926</v>
          </cell>
          <cell r="E25">
            <v>14978</v>
          </cell>
          <cell r="F25">
            <v>1990530</v>
          </cell>
          <cell r="G25">
            <v>187513969129.3365</v>
          </cell>
          <cell r="H25">
            <v>801777083</v>
          </cell>
          <cell r="I25">
            <v>967174538.4474</v>
          </cell>
        </row>
        <row r="26">
          <cell r="C26" t="str">
            <v>Unknown</v>
          </cell>
          <cell r="D26">
            <v>10004</v>
          </cell>
          <cell r="E26">
            <v>9210</v>
          </cell>
          <cell r="F26">
            <v>1724861</v>
          </cell>
          <cell r="G26">
            <v>45712932699.2913</v>
          </cell>
          <cell r="H26">
            <v>183314538</v>
          </cell>
          <cell r="I26">
            <v>223829284.7115</v>
          </cell>
        </row>
        <row r="27">
          <cell r="C27" t="str">
            <v>Non-Smoker</v>
          </cell>
          <cell r="D27">
            <v>20712</v>
          </cell>
          <cell r="E27">
            <v>25378</v>
          </cell>
          <cell r="F27">
            <v>8732444</v>
          </cell>
          <cell r="G27">
            <v>949874986183.674</v>
          </cell>
          <cell r="H27">
            <v>1206176411</v>
          </cell>
          <cell r="I27">
            <v>1737447894.1874</v>
          </cell>
        </row>
        <row r="28">
          <cell r="C28" t="str">
            <v>Smoker</v>
          </cell>
          <cell r="D28">
            <v>10531</v>
          </cell>
          <cell r="E28">
            <v>10521</v>
          </cell>
          <cell r="F28">
            <v>1501996</v>
          </cell>
          <cell r="G28">
            <v>89317088725.9389</v>
          </cell>
          <cell r="H28">
            <v>330945593</v>
          </cell>
          <cell r="I28">
            <v>371110980.8601</v>
          </cell>
        </row>
        <row r="29">
          <cell r="C29" t="str">
            <v>Unknown</v>
          </cell>
          <cell r="D29">
            <v>10648</v>
          </cell>
          <cell r="E29">
            <v>10236</v>
          </cell>
          <cell r="F29">
            <v>1765405</v>
          </cell>
          <cell r="G29">
            <v>35070666662.607</v>
          </cell>
          <cell r="H29">
            <v>92884419</v>
          </cell>
          <cell r="I29">
            <v>101577311.1181</v>
          </cell>
        </row>
        <row r="30">
          <cell r="C30" t="str">
            <v>Non-Smoker</v>
          </cell>
          <cell r="D30">
            <v>36746</v>
          </cell>
          <cell r="E30">
            <v>45741</v>
          </cell>
          <cell r="F30">
            <v>11730337</v>
          </cell>
          <cell r="G30">
            <v>2390742493041.019</v>
          </cell>
          <cell r="H30">
            <v>3844363626</v>
          </cell>
          <cell r="I30">
            <v>5795144432.738</v>
          </cell>
        </row>
        <row r="31">
          <cell r="C31" t="str">
            <v>Smoker</v>
          </cell>
          <cell r="D31">
            <v>15809</v>
          </cell>
          <cell r="E31">
            <v>16204</v>
          </cell>
          <cell r="F31">
            <v>2105617</v>
          </cell>
          <cell r="G31">
            <v>205312614689.4737</v>
          </cell>
          <cell r="H31">
            <v>896800796</v>
          </cell>
          <cell r="I31">
            <v>1068063394.1335</v>
          </cell>
        </row>
        <row r="32">
          <cell r="C32" t="str">
            <v>Unknown</v>
          </cell>
          <cell r="D32">
            <v>7995</v>
          </cell>
          <cell r="E32">
            <v>7603</v>
          </cell>
          <cell r="F32">
            <v>1480863</v>
          </cell>
          <cell r="G32">
            <v>41337538282.7404</v>
          </cell>
          <cell r="H32">
            <v>161457544</v>
          </cell>
          <cell r="I32">
            <v>187221069.3593</v>
          </cell>
        </row>
        <row r="33">
          <cell r="C33" t="str">
            <v>Non-Smoker</v>
          </cell>
          <cell r="D33">
            <v>22976</v>
          </cell>
          <cell r="E33">
            <v>29163</v>
          </cell>
          <cell r="F33">
            <v>9568445</v>
          </cell>
          <cell r="G33">
            <v>1146009961527.1433</v>
          </cell>
          <cell r="H33">
            <v>1437318636</v>
          </cell>
          <cell r="I33">
            <v>2098596908.0201</v>
          </cell>
        </row>
        <row r="34">
          <cell r="C34" t="str">
            <v>Smoker</v>
          </cell>
          <cell r="D34">
            <v>11593</v>
          </cell>
          <cell r="E34">
            <v>11472</v>
          </cell>
          <cell r="F34">
            <v>1604540</v>
          </cell>
          <cell r="G34">
            <v>100191199787.0637</v>
          </cell>
          <cell r="H34">
            <v>371839764</v>
          </cell>
          <cell r="I34">
            <v>417531500.0023</v>
          </cell>
        </row>
        <row r="35">
          <cell r="C35" t="str">
            <v>Unknown</v>
          </cell>
          <cell r="D35">
            <v>9355</v>
          </cell>
          <cell r="E35">
            <v>8741</v>
          </cell>
          <cell r="F35">
            <v>1545108</v>
          </cell>
          <cell r="G35">
            <v>33398291319.8007</v>
          </cell>
          <cell r="H35">
            <v>77468579</v>
          </cell>
          <cell r="I35">
            <v>92100462.452</v>
          </cell>
        </row>
        <row r="39">
          <cell r="C39" t="str">
            <v>Non-Smoker</v>
          </cell>
          <cell r="D39">
            <v>42681</v>
          </cell>
          <cell r="E39">
            <v>55804.244285</v>
          </cell>
          <cell r="F39">
            <v>12636560.19479</v>
          </cell>
          <cell r="G39">
            <v>2944548404519.2617</v>
          </cell>
          <cell r="H39">
            <v>5096191644</v>
          </cell>
          <cell r="I39">
            <v>7964976956.854318</v>
          </cell>
        </row>
        <row r="40">
          <cell r="C40" t="str">
            <v>Smoker</v>
          </cell>
          <cell r="D40">
            <v>16817</v>
          </cell>
          <cell r="E40">
            <v>18186.554437</v>
          </cell>
          <cell r="F40">
            <v>2102419.14956</v>
          </cell>
          <cell r="G40">
            <v>232531091986.06937</v>
          </cell>
          <cell r="H40">
            <v>1081251720</v>
          </cell>
          <cell r="I40">
            <v>1302149010.713527</v>
          </cell>
        </row>
        <row r="41">
          <cell r="C41" t="str">
            <v>Unknown</v>
          </cell>
          <cell r="D41">
            <v>7123</v>
          </cell>
          <cell r="E41">
            <v>7059.561843</v>
          </cell>
          <cell r="F41">
            <v>1372624.79708</v>
          </cell>
          <cell r="G41">
            <v>47610745144.14384</v>
          </cell>
          <cell r="H41">
            <v>167087939</v>
          </cell>
          <cell r="I41">
            <v>205990554.252932</v>
          </cell>
        </row>
        <row r="42">
          <cell r="C42" t="str">
            <v>Non-Smoker</v>
          </cell>
          <cell r="D42">
            <v>25029</v>
          </cell>
          <cell r="E42">
            <v>33436.660804</v>
          </cell>
          <cell r="F42">
            <v>9924233.42804</v>
          </cell>
          <cell r="G42">
            <v>1309701559466.0493</v>
          </cell>
          <cell r="H42">
            <v>1761104408</v>
          </cell>
          <cell r="I42">
            <v>2707784913.101449</v>
          </cell>
        </row>
        <row r="43">
          <cell r="C43" t="str">
            <v>Smoker</v>
          </cell>
          <cell r="D43">
            <v>12036</v>
          </cell>
          <cell r="E43">
            <v>12737.972865</v>
          </cell>
          <cell r="F43">
            <v>1544300.14204</v>
          </cell>
          <cell r="G43">
            <v>104461748919.9752</v>
          </cell>
          <cell r="H43">
            <v>416455245</v>
          </cell>
          <cell r="I43">
            <v>490540188.809995</v>
          </cell>
        </row>
        <row r="44">
          <cell r="C44" t="str">
            <v>Unknown</v>
          </cell>
          <cell r="D44">
            <v>8124</v>
          </cell>
          <cell r="E44">
            <v>7977.979801</v>
          </cell>
          <cell r="F44">
            <v>1434006.91065</v>
          </cell>
          <cell r="G44">
            <v>37923476621.85561</v>
          </cell>
          <cell r="H44">
            <v>83258805</v>
          </cell>
          <cell r="I44">
            <v>95381110.638634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3-2005 DATA"/>
      <sheetName val="A-E by Gender"/>
    </sheetNames>
    <sheetDataSet>
      <sheetData sheetId="0">
        <row r="3">
          <cell r="B3" t="str">
            <v>Male</v>
          </cell>
          <cell r="C3">
            <v>156853</v>
          </cell>
          <cell r="D3">
            <v>168556.2836</v>
          </cell>
          <cell r="E3">
            <v>5990076.5653</v>
          </cell>
          <cell r="F3">
            <v>44146807184.2384</v>
          </cell>
          <cell r="G3">
            <v>913115057</v>
          </cell>
          <cell r="H3">
            <v>1029606230.3245</v>
          </cell>
        </row>
        <row r="4">
          <cell r="B4" t="str">
            <v>Female</v>
          </cell>
          <cell r="C4">
            <v>87353</v>
          </cell>
          <cell r="D4">
            <v>84955.2252</v>
          </cell>
          <cell r="E4">
            <v>4055433.5087</v>
          </cell>
          <cell r="F4">
            <v>14124415825.2276</v>
          </cell>
          <cell r="G4">
            <v>200127382</v>
          </cell>
          <cell r="H4">
            <v>198873073.382</v>
          </cell>
        </row>
        <row r="5">
          <cell r="B5" t="str">
            <v>Male</v>
          </cell>
          <cell r="C5">
            <v>154533</v>
          </cell>
          <cell r="D5">
            <v>169375.996</v>
          </cell>
          <cell r="E5">
            <v>5928808.8395</v>
          </cell>
          <cell r="F5">
            <v>46217097371.4178</v>
          </cell>
          <cell r="G5">
            <v>936842982</v>
          </cell>
          <cell r="H5">
            <v>1088883689.4849</v>
          </cell>
        </row>
        <row r="6">
          <cell r="B6" t="str">
            <v>Female</v>
          </cell>
          <cell r="C6">
            <v>89615</v>
          </cell>
          <cell r="D6">
            <v>87499.7865</v>
          </cell>
          <cell r="E6">
            <v>4095947.7877</v>
          </cell>
          <cell r="F6">
            <v>15526679204.5689</v>
          </cell>
          <cell r="G6">
            <v>218351983</v>
          </cell>
          <cell r="H6">
            <v>219403312.3657</v>
          </cell>
        </row>
        <row r="7">
          <cell r="B7" t="str">
            <v>Male</v>
          </cell>
          <cell r="C7">
            <v>148820</v>
          </cell>
          <cell r="D7">
            <v>168766.735797</v>
          </cell>
          <cell r="E7">
            <v>5772126.16273</v>
          </cell>
          <cell r="F7">
            <v>47948126501.531364</v>
          </cell>
          <cell r="G7">
            <v>951157774</v>
          </cell>
          <cell r="H7">
            <v>1147283441.429561</v>
          </cell>
        </row>
        <row r="8">
          <cell r="B8" t="str">
            <v>Female</v>
          </cell>
          <cell r="C8">
            <v>86811</v>
          </cell>
          <cell r="D8">
            <v>88741.609331</v>
          </cell>
          <cell r="E8">
            <v>4063481.59042</v>
          </cell>
          <cell r="F8">
            <v>16607530001.0235</v>
          </cell>
          <cell r="G8">
            <v>217429090</v>
          </cell>
          <cell r="H8">
            <v>233439262.881121</v>
          </cell>
        </row>
        <row r="12">
          <cell r="B12" t="str">
            <v>Male</v>
          </cell>
          <cell r="C12">
            <v>158848</v>
          </cell>
          <cell r="D12">
            <v>170909</v>
          </cell>
          <cell r="E12">
            <v>6078191</v>
          </cell>
          <cell r="F12">
            <v>45161549276.0584</v>
          </cell>
          <cell r="G12">
            <v>933006632</v>
          </cell>
          <cell r="H12">
            <v>1052069654.1423</v>
          </cell>
        </row>
        <row r="13">
          <cell r="B13" t="str">
            <v>Female</v>
          </cell>
          <cell r="C13">
            <v>88090</v>
          </cell>
          <cell r="D13">
            <v>85735</v>
          </cell>
          <cell r="E13">
            <v>4102629</v>
          </cell>
          <cell r="F13">
            <v>14419607028.1506</v>
          </cell>
          <cell r="G13">
            <v>203435599</v>
          </cell>
          <cell r="H13">
            <v>202710529.1621</v>
          </cell>
        </row>
        <row r="14">
          <cell r="B14" t="str">
            <v>Male</v>
          </cell>
          <cell r="C14">
            <v>157033</v>
          </cell>
          <cell r="D14">
            <v>172112</v>
          </cell>
          <cell r="E14">
            <v>6046069</v>
          </cell>
          <cell r="F14">
            <v>47505215812.5163</v>
          </cell>
          <cell r="G14">
            <v>959829271</v>
          </cell>
          <cell r="H14">
            <v>1116002479.2574</v>
          </cell>
        </row>
        <row r="15">
          <cell r="B15" t="str">
            <v>Female</v>
          </cell>
          <cell r="C15">
            <v>90767</v>
          </cell>
          <cell r="D15">
            <v>88626</v>
          </cell>
          <cell r="E15">
            <v>4170471</v>
          </cell>
          <cell r="F15">
            <v>15987359771.4654</v>
          </cell>
          <cell r="G15">
            <v>223633745</v>
          </cell>
          <cell r="H15">
            <v>225087127.4905</v>
          </cell>
        </row>
        <row r="19">
          <cell r="B19" t="str">
            <v>Male</v>
          </cell>
          <cell r="C19">
            <v>174793</v>
          </cell>
          <cell r="D19">
            <v>204044.578288</v>
          </cell>
          <cell r="E19">
            <v>6774187.76271</v>
          </cell>
          <cell r="F19">
            <v>59705415367.43964</v>
          </cell>
          <cell r="G19">
            <v>1203646079</v>
          </cell>
          <cell r="H19">
            <v>1502646687.847271</v>
          </cell>
        </row>
        <row r="20">
          <cell r="B20" t="str">
            <v>Female</v>
          </cell>
          <cell r="C20">
            <v>95181</v>
          </cell>
          <cell r="D20">
            <v>98815.349881</v>
          </cell>
          <cell r="E20">
            <v>4553174.75487</v>
          </cell>
          <cell r="F20">
            <v>19406230316.99833</v>
          </cell>
          <cell r="G20">
            <v>253344693</v>
          </cell>
          <cell r="H20">
            <v>277694982.955581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_SelectOnly"/>
      <sheetName val="Data_ULTIMATE"/>
      <sheetName val="Data_RCR"/>
      <sheetName val="ILEC 04-05_Summary_SelectOnly"/>
      <sheetName val="ILEC 04-05_Summary_ULTIMATE"/>
      <sheetName val="ILEC 04-05_Summary_RCR"/>
      <sheetName val="ILEC 04-05_Summary_Detail"/>
      <sheetName val="ILEC 04-05_Summary_GenderSmkr"/>
      <sheetName val="Data_GenderSmkr"/>
      <sheetName val="Data_Detail"/>
    </sheetNames>
    <sheetDataSet>
      <sheetData sheetId="0">
        <row r="5">
          <cell r="A5" t="str">
            <v>0</v>
          </cell>
          <cell r="B5">
            <v>433</v>
          </cell>
          <cell r="C5">
            <v>484.934279</v>
          </cell>
          <cell r="D5">
            <v>1346009.3191</v>
          </cell>
          <cell r="E5">
            <v>44848776329.982155</v>
          </cell>
          <cell r="F5">
            <v>10683103</v>
          </cell>
          <cell r="G5">
            <v>13857891.510623</v>
          </cell>
        </row>
        <row r="6">
          <cell r="A6" t="str">
            <v>10-17</v>
          </cell>
          <cell r="B6">
            <v>1080</v>
          </cell>
          <cell r="C6">
            <v>954.47352</v>
          </cell>
          <cell r="D6">
            <v>1387833.08993</v>
          </cell>
          <cell r="E6">
            <v>57220637825.547806</v>
          </cell>
          <cell r="F6">
            <v>34274804</v>
          </cell>
          <cell r="G6">
            <v>36480001.860403</v>
          </cell>
        </row>
        <row r="7">
          <cell r="A7" t="str">
            <v>1-4</v>
          </cell>
          <cell r="B7">
            <v>470</v>
          </cell>
          <cell r="C7">
            <v>482.648772</v>
          </cell>
          <cell r="D7">
            <v>1288546.72364</v>
          </cell>
          <cell r="E7">
            <v>49380276532.76849</v>
          </cell>
          <cell r="F7">
            <v>13031166</v>
          </cell>
          <cell r="G7">
            <v>15686977.584173</v>
          </cell>
        </row>
        <row r="8">
          <cell r="A8" t="str">
            <v>18-24</v>
          </cell>
          <cell r="B8">
            <v>1969</v>
          </cell>
          <cell r="C8">
            <v>2035.268341</v>
          </cell>
          <cell r="D8">
            <v>2249452.86527</v>
          </cell>
          <cell r="E8">
            <v>152991456127.0273</v>
          </cell>
          <cell r="F8">
            <v>88440985</v>
          </cell>
          <cell r="G8">
            <v>108755689.260201</v>
          </cell>
        </row>
        <row r="9">
          <cell r="A9" t="str">
            <v>25-29</v>
          </cell>
          <cell r="B9">
            <v>3084</v>
          </cell>
          <cell r="C9">
            <v>3741.453401</v>
          </cell>
          <cell r="D9">
            <v>3130498.39751</v>
          </cell>
          <cell r="E9">
            <v>405850153459.5329</v>
          </cell>
          <cell r="F9">
            <v>224173258</v>
          </cell>
          <cell r="G9">
            <v>322417867.709701</v>
          </cell>
        </row>
        <row r="10">
          <cell r="A10" t="str">
            <v>30-34</v>
          </cell>
          <cell r="B10">
            <v>4973</v>
          </cell>
          <cell r="C10">
            <v>6637.897912</v>
          </cell>
          <cell r="D10">
            <v>4097459.65642</v>
          </cell>
          <cell r="E10">
            <v>813798194689.4818</v>
          </cell>
          <cell r="F10">
            <v>524849412</v>
          </cell>
          <cell r="G10">
            <v>771566269.491226</v>
          </cell>
        </row>
        <row r="11">
          <cell r="A11" t="str">
            <v>35-39</v>
          </cell>
          <cell r="B11">
            <v>7089</v>
          </cell>
          <cell r="C11">
            <v>9604.744669</v>
          </cell>
          <cell r="D11">
            <v>4033207.87813</v>
          </cell>
          <cell r="E11">
            <v>939831264879.4135</v>
          </cell>
          <cell r="F11">
            <v>748783719</v>
          </cell>
          <cell r="G11">
            <v>1227653017.300296</v>
          </cell>
        </row>
        <row r="12">
          <cell r="A12" t="str">
            <v>40-49</v>
          </cell>
          <cell r="B12">
            <v>20394</v>
          </cell>
          <cell r="C12">
            <v>27017.569675</v>
          </cell>
          <cell r="D12">
            <v>5910735.04924</v>
          </cell>
          <cell r="E12">
            <v>1361102722985.657</v>
          </cell>
          <cell r="F12">
            <v>2052902115</v>
          </cell>
          <cell r="G12">
            <v>3221810575.447892</v>
          </cell>
        </row>
        <row r="13">
          <cell r="A13" t="str">
            <v>50-59</v>
          </cell>
          <cell r="B13">
            <v>30586</v>
          </cell>
          <cell r="C13">
            <v>37539.169745</v>
          </cell>
          <cell r="D13">
            <v>3162522.2183</v>
          </cell>
          <cell r="E13">
            <v>604200221666.209</v>
          </cell>
          <cell r="F13">
            <v>2246394075</v>
          </cell>
          <cell r="G13">
            <v>3338490777.946991</v>
          </cell>
        </row>
        <row r="14">
          <cell r="A14" t="str">
            <v>5-9</v>
          </cell>
          <cell r="B14">
            <v>528</v>
          </cell>
          <cell r="C14">
            <v>451.396324</v>
          </cell>
          <cell r="D14">
            <v>932805.77703</v>
          </cell>
          <cell r="E14">
            <v>37326400403.064</v>
          </cell>
          <cell r="F14">
            <v>15063487</v>
          </cell>
          <cell r="G14">
            <v>16121906.33553</v>
          </cell>
        </row>
        <row r="15">
          <cell r="A15" t="str">
            <v>60-69</v>
          </cell>
          <cell r="B15">
            <v>31327</v>
          </cell>
          <cell r="C15">
            <v>35907.558909</v>
          </cell>
          <cell r="D15">
            <v>1237798.92759</v>
          </cell>
          <cell r="E15">
            <v>164835620292.1025</v>
          </cell>
          <cell r="F15">
            <v>1717429903</v>
          </cell>
          <cell r="G15">
            <v>2389947510.835637</v>
          </cell>
        </row>
        <row r="16">
          <cell r="A16" t="str">
            <v>70-79</v>
          </cell>
          <cell r="B16">
            <v>9172</v>
          </cell>
          <cell r="C16">
            <v>9513.778462</v>
          </cell>
          <cell r="D16">
            <v>221041.94956</v>
          </cell>
          <cell r="E16">
            <v>38126894606.12273</v>
          </cell>
          <cell r="F16">
            <v>744057267</v>
          </cell>
          <cell r="G16">
            <v>1015973032.971497</v>
          </cell>
        </row>
        <row r="17">
          <cell r="A17" t="str">
            <v>80+</v>
          </cell>
          <cell r="B17">
            <v>705</v>
          </cell>
          <cell r="C17">
            <v>832.080026</v>
          </cell>
          <cell r="D17">
            <v>16232.77044</v>
          </cell>
          <cell r="E17">
            <v>7264406860.44571</v>
          </cell>
          <cell r="F17">
            <v>185266467</v>
          </cell>
          <cell r="G17">
            <v>288061216.116685</v>
          </cell>
        </row>
        <row r="20">
          <cell r="A20" t="str">
            <v>Female</v>
          </cell>
          <cell r="B20">
            <v>45189</v>
          </cell>
          <cell r="C20">
            <v>54152.61347</v>
          </cell>
          <cell r="D20">
            <v>12902540.48073</v>
          </cell>
          <cell r="E20">
            <v>1452086785007.88</v>
          </cell>
          <cell r="F20">
            <v>2260818458</v>
          </cell>
          <cell r="G20">
            <v>3293706212.550078</v>
          </cell>
        </row>
        <row r="21">
          <cell r="A21" t="str">
            <v>Male</v>
          </cell>
          <cell r="B21">
            <v>66621</v>
          </cell>
          <cell r="C21">
            <v>81050.360565</v>
          </cell>
          <cell r="D21">
            <v>16111604.14143</v>
          </cell>
          <cell r="E21">
            <v>3224690241649.475</v>
          </cell>
          <cell r="F21">
            <v>6344531303</v>
          </cell>
          <cell r="G21">
            <v>9473116521.820776</v>
          </cell>
        </row>
        <row r="24">
          <cell r="A24" t="str">
            <v>1</v>
          </cell>
          <cell r="B24">
            <v>1059</v>
          </cell>
          <cell r="C24">
            <v>1264.624066</v>
          </cell>
          <cell r="D24">
            <v>1838661.07318</v>
          </cell>
          <cell r="E24">
            <v>597537673605.1488</v>
          </cell>
          <cell r="F24">
            <v>256464882</v>
          </cell>
          <cell r="G24">
            <v>454958701.491964</v>
          </cell>
        </row>
        <row r="25">
          <cell r="A25" t="str">
            <v>11-15</v>
          </cell>
          <cell r="B25">
            <v>22962</v>
          </cell>
          <cell r="C25">
            <v>29291.118904</v>
          </cell>
          <cell r="D25">
            <v>5556270.15348</v>
          </cell>
          <cell r="E25">
            <v>550068173256.2821</v>
          </cell>
          <cell r="F25">
            <v>1839240355</v>
          </cell>
          <cell r="G25">
            <v>2825263010.400422</v>
          </cell>
        </row>
        <row r="26">
          <cell r="A26" t="str">
            <v>16-20</v>
          </cell>
          <cell r="B26">
            <v>36434</v>
          </cell>
          <cell r="C26">
            <v>46302.214917</v>
          </cell>
          <cell r="D26">
            <v>5453574.6158</v>
          </cell>
          <cell r="E26">
            <v>365119934583.5386</v>
          </cell>
          <cell r="F26">
            <v>1987022129</v>
          </cell>
          <cell r="G26">
            <v>2915570978.701413</v>
          </cell>
        </row>
        <row r="27">
          <cell r="A27" t="str">
            <v>2</v>
          </cell>
          <cell r="B27">
            <v>1557</v>
          </cell>
          <cell r="C27">
            <v>1746.20108</v>
          </cell>
          <cell r="D27">
            <v>1804824.76759</v>
          </cell>
          <cell r="E27">
            <v>586180755951.5045</v>
          </cell>
          <cell r="F27">
            <v>416562040</v>
          </cell>
          <cell r="G27">
            <v>598128777.406686</v>
          </cell>
        </row>
        <row r="28">
          <cell r="A28" t="str">
            <v>21-25</v>
          </cell>
          <cell r="B28">
            <v>30159</v>
          </cell>
          <cell r="C28">
            <v>33977.528308</v>
          </cell>
          <cell r="D28">
            <v>3241892.35387</v>
          </cell>
          <cell r="E28">
            <v>117651021543.92775</v>
          </cell>
          <cell r="F28">
            <v>896621095</v>
          </cell>
          <cell r="G28">
            <v>1168052254.080605</v>
          </cell>
        </row>
        <row r="29">
          <cell r="A29" t="str">
            <v>3</v>
          </cell>
          <cell r="B29">
            <v>1980</v>
          </cell>
          <cell r="C29">
            <v>2119.638613</v>
          </cell>
          <cell r="D29">
            <v>1805590.13553</v>
          </cell>
          <cell r="E29">
            <v>532100108393.5166</v>
          </cell>
          <cell r="F29">
            <v>466424327</v>
          </cell>
          <cell r="G29">
            <v>641992088.534231</v>
          </cell>
        </row>
        <row r="30">
          <cell r="A30" t="str">
            <v>4-5</v>
          </cell>
          <cell r="B30">
            <v>4075</v>
          </cell>
          <cell r="C30">
            <v>4418.401647</v>
          </cell>
          <cell r="D30">
            <v>2993008.17649</v>
          </cell>
          <cell r="E30">
            <v>746100229855.4165</v>
          </cell>
          <cell r="F30">
            <v>870499209</v>
          </cell>
          <cell r="G30">
            <v>1168717761.678327</v>
          </cell>
        </row>
        <row r="31">
          <cell r="A31" t="str">
            <v>6-10</v>
          </cell>
          <cell r="B31">
            <v>13584</v>
          </cell>
          <cell r="C31">
            <v>16083.2465</v>
          </cell>
          <cell r="D31">
            <v>6320323.34622</v>
          </cell>
          <cell r="E31">
            <v>1182019129468.0205</v>
          </cell>
          <cell r="F31">
            <v>1872515724</v>
          </cell>
          <cell r="G31">
            <v>2994139162.077207</v>
          </cell>
        </row>
        <row r="34">
          <cell r="A34" t="str">
            <v>1,000,000-2,499,999</v>
          </cell>
          <cell r="B34">
            <v>984</v>
          </cell>
          <cell r="C34">
            <v>1741.101783</v>
          </cell>
          <cell r="D34">
            <v>828313.87124</v>
          </cell>
          <cell r="E34">
            <v>998001503221.8097</v>
          </cell>
          <cell r="F34">
            <v>1183525936</v>
          </cell>
          <cell r="G34">
            <v>2151121777.921398</v>
          </cell>
        </row>
        <row r="35">
          <cell r="A35" t="str">
            <v>10,000-24,999</v>
          </cell>
          <cell r="B35">
            <v>24308</v>
          </cell>
          <cell r="C35">
            <v>27075.283507</v>
          </cell>
          <cell r="D35">
            <v>4159472.06493</v>
          </cell>
          <cell r="E35">
            <v>54009479616.65814</v>
          </cell>
          <cell r="F35">
            <v>299192564</v>
          </cell>
          <cell r="G35">
            <v>337697054.165808</v>
          </cell>
        </row>
        <row r="36">
          <cell r="A36" t="str">
            <v>100,000-249,999</v>
          </cell>
          <cell r="B36">
            <v>17192</v>
          </cell>
          <cell r="C36">
            <v>24253.382245</v>
          </cell>
          <cell r="D36">
            <v>7763730.68463</v>
          </cell>
          <cell r="E36">
            <v>972985318992.0752</v>
          </cell>
          <cell r="F36">
            <v>2113864126</v>
          </cell>
          <cell r="G36">
            <v>3034182529.177623</v>
          </cell>
        </row>
        <row r="37">
          <cell r="A37" t="str">
            <v>1-9,999</v>
          </cell>
          <cell r="B37">
            <v>25749</v>
          </cell>
          <cell r="C37">
            <v>25353.021673</v>
          </cell>
          <cell r="D37">
            <v>1399713.57048</v>
          </cell>
          <cell r="E37">
            <v>7074616483.70096</v>
          </cell>
          <cell r="F37">
            <v>123694500</v>
          </cell>
          <cell r="G37">
            <v>121174927.428636</v>
          </cell>
        </row>
        <row r="38">
          <cell r="A38" t="str">
            <v>2,500,000-4,999,999</v>
          </cell>
          <cell r="B38">
            <v>105</v>
          </cell>
          <cell r="C38">
            <v>174.326628</v>
          </cell>
          <cell r="D38">
            <v>59367.65211</v>
          </cell>
          <cell r="E38">
            <v>184755747520.35526</v>
          </cell>
          <cell r="F38">
            <v>330661940</v>
          </cell>
          <cell r="G38">
            <v>552843928.302776</v>
          </cell>
        </row>
        <row r="39">
          <cell r="A39" t="str">
            <v>25,000-49,999</v>
          </cell>
          <cell r="B39">
            <v>17781</v>
          </cell>
          <cell r="C39">
            <v>21514.186663</v>
          </cell>
          <cell r="D39">
            <v>4325901.20386</v>
          </cell>
          <cell r="E39">
            <v>120897973633.92542</v>
          </cell>
          <cell r="F39">
            <v>510283883</v>
          </cell>
          <cell r="G39">
            <v>621194977.745952</v>
          </cell>
        </row>
        <row r="40">
          <cell r="A40" t="str">
            <v>250,000-499,999</v>
          </cell>
          <cell r="B40">
            <v>4465</v>
          </cell>
          <cell r="C40">
            <v>6757.556643</v>
          </cell>
          <cell r="D40">
            <v>3183387.10864</v>
          </cell>
          <cell r="E40">
            <v>912246610275.0018</v>
          </cell>
          <cell r="F40">
            <v>1295911149</v>
          </cell>
          <cell r="G40">
            <v>1984067425.749666</v>
          </cell>
        </row>
        <row r="41">
          <cell r="A41" t="str">
            <v>5,000,000+</v>
          </cell>
          <cell r="B41">
            <v>57</v>
          </cell>
          <cell r="C41">
            <v>91.292186</v>
          </cell>
          <cell r="D41">
            <v>27856.95493</v>
          </cell>
          <cell r="E41">
            <v>212297483515.22083</v>
          </cell>
          <cell r="F41">
            <v>517343987</v>
          </cell>
          <cell r="G41">
            <v>697787561.312199</v>
          </cell>
        </row>
        <row r="42">
          <cell r="A42" t="str">
            <v>50,000-99,999</v>
          </cell>
          <cell r="B42">
            <v>19135</v>
          </cell>
          <cell r="C42">
            <v>24987.170605</v>
          </cell>
          <cell r="D42">
            <v>5645202.45602</v>
          </cell>
          <cell r="E42">
            <v>312881506293.5829</v>
          </cell>
          <cell r="F42">
            <v>1077971008</v>
          </cell>
          <cell r="G42">
            <v>1414577458.92573</v>
          </cell>
        </row>
        <row r="43">
          <cell r="A43" t="str">
            <v>500,000-999,999</v>
          </cell>
          <cell r="B43">
            <v>2034</v>
          </cell>
          <cell r="C43">
            <v>3255.652102</v>
          </cell>
          <cell r="D43">
            <v>1621199.05532</v>
          </cell>
          <cell r="E43">
            <v>901626787105.025</v>
          </cell>
          <cell r="F43">
            <v>1152900668</v>
          </cell>
          <cell r="G43">
            <v>1852175093.641067</v>
          </cell>
        </row>
        <row r="46">
          <cell r="A46" t="str">
            <v>Non-Smoker</v>
          </cell>
          <cell r="B46">
            <v>67710</v>
          </cell>
          <cell r="C46">
            <v>89240.905089</v>
          </cell>
          <cell r="D46">
            <v>22560793.62283</v>
          </cell>
          <cell r="E46">
            <v>4254249963985.311</v>
          </cell>
          <cell r="F46">
            <v>6857296052</v>
          </cell>
          <cell r="G46">
            <v>10672761869.955769</v>
          </cell>
        </row>
        <row r="47">
          <cell r="A47" t="str">
            <v>Smoker</v>
          </cell>
          <cell r="B47">
            <v>28853</v>
          </cell>
          <cell r="C47">
            <v>30924.527302</v>
          </cell>
          <cell r="D47">
            <v>3646719.2916</v>
          </cell>
          <cell r="E47">
            <v>336992840906.0446</v>
          </cell>
          <cell r="F47">
            <v>1497706965</v>
          </cell>
          <cell r="G47">
            <v>1792689199.523522</v>
          </cell>
        </row>
        <row r="48">
          <cell r="A48" t="str">
            <v>Unknown</v>
          </cell>
          <cell r="B48">
            <v>15247</v>
          </cell>
          <cell r="C48">
            <v>15037.541644</v>
          </cell>
          <cell r="D48">
            <v>2806631.70773</v>
          </cell>
          <cell r="E48">
            <v>85534221765.99945</v>
          </cell>
          <cell r="F48">
            <v>250346744</v>
          </cell>
          <cell r="G48">
            <v>301371664.891566</v>
          </cell>
        </row>
      </sheetData>
      <sheetData sheetId="1">
        <row r="5">
          <cell r="A5" t="str">
            <v>Female</v>
          </cell>
          <cell r="B5">
            <v>95181</v>
          </cell>
          <cell r="C5">
            <v>98815.349881</v>
          </cell>
          <cell r="D5">
            <v>4553174.75487</v>
          </cell>
          <cell r="E5">
            <v>19406230316.99833</v>
          </cell>
          <cell r="F5">
            <v>253344693</v>
          </cell>
          <cell r="G5">
            <v>277694982.955581</v>
          </cell>
        </row>
        <row r="6">
          <cell r="A6" t="str">
            <v>Male</v>
          </cell>
          <cell r="B6">
            <v>174793</v>
          </cell>
          <cell r="C6">
            <v>204044.578288</v>
          </cell>
          <cell r="D6">
            <v>6774187.76271</v>
          </cell>
          <cell r="E6">
            <v>59705415367.43964</v>
          </cell>
          <cell r="F6">
            <v>1203646079</v>
          </cell>
          <cell r="G6">
            <v>1502646687.847271</v>
          </cell>
        </row>
        <row r="9">
          <cell r="A9" t="str">
            <v>10,000-24,999</v>
          </cell>
          <cell r="B9">
            <v>3899</v>
          </cell>
          <cell r="C9">
            <v>4729.694248</v>
          </cell>
          <cell r="D9">
            <v>544239.41155</v>
          </cell>
          <cell r="E9">
            <v>6280319436.23185</v>
          </cell>
          <cell r="F9">
            <v>44447889</v>
          </cell>
          <cell r="G9">
            <v>54758145.69882</v>
          </cell>
        </row>
        <row r="10">
          <cell r="A10" t="str">
            <v>1-9,999</v>
          </cell>
          <cell r="B10">
            <v>90297</v>
          </cell>
          <cell r="C10">
            <v>92909.972255</v>
          </cell>
          <cell r="D10">
            <v>3929522.6823</v>
          </cell>
          <cell r="E10">
            <v>9699959544.66293</v>
          </cell>
          <cell r="F10">
            <v>159160480</v>
          </cell>
          <cell r="G10">
            <v>166399485.912002</v>
          </cell>
        </row>
        <row r="11">
          <cell r="A11" t="str">
            <v>25,000-49,999</v>
          </cell>
          <cell r="B11">
            <v>604</v>
          </cell>
          <cell r="C11">
            <v>744.611407</v>
          </cell>
          <cell r="D11">
            <v>56992.19725</v>
          </cell>
          <cell r="E11">
            <v>1584221956.00928</v>
          </cell>
          <cell r="F11">
            <v>16946740</v>
          </cell>
          <cell r="G11">
            <v>20836608.248017</v>
          </cell>
        </row>
        <row r="12">
          <cell r="A12" t="str">
            <v>50,000-99,999</v>
          </cell>
          <cell r="B12">
            <v>246</v>
          </cell>
          <cell r="C12">
            <v>300.429129</v>
          </cell>
          <cell r="D12">
            <v>15785.07649</v>
          </cell>
          <cell r="E12">
            <v>869904855.61238</v>
          </cell>
          <cell r="F12">
            <v>13496831</v>
          </cell>
          <cell r="G12">
            <v>16412913.972382</v>
          </cell>
        </row>
        <row r="13">
          <cell r="A13" t="str">
            <v>100,000+</v>
          </cell>
          <cell r="B13">
            <v>135</v>
          </cell>
          <cell r="C13">
            <v>130.642842</v>
          </cell>
          <cell r="D13">
            <v>6635.38728</v>
          </cell>
          <cell r="E13">
            <v>971824524.48189</v>
          </cell>
          <cell r="F13">
            <v>19292753</v>
          </cell>
          <cell r="G13">
            <v>19287829.12436</v>
          </cell>
        </row>
        <row r="16">
          <cell r="A16" t="str">
            <v>10,000-24,999</v>
          </cell>
          <cell r="B16">
            <v>33944</v>
          </cell>
          <cell r="C16">
            <v>42158.218614</v>
          </cell>
          <cell r="D16">
            <v>1940069.43366</v>
          </cell>
          <cell r="E16">
            <v>23293841276.915154</v>
          </cell>
          <cell r="F16">
            <v>399354749</v>
          </cell>
          <cell r="G16">
            <v>500370461.639828</v>
          </cell>
        </row>
        <row r="17">
          <cell r="A17" t="str">
            <v>1-9,999</v>
          </cell>
          <cell r="B17">
            <v>132679</v>
          </cell>
          <cell r="C17">
            <v>151195.400061</v>
          </cell>
          <cell r="D17">
            <v>4378475.55385</v>
          </cell>
          <cell r="E17">
            <v>15091216406.83614</v>
          </cell>
          <cell r="F17">
            <v>413002593</v>
          </cell>
          <cell r="G17">
            <v>465616519.238902</v>
          </cell>
        </row>
        <row r="18">
          <cell r="A18" t="str">
            <v>25,000-49,999</v>
          </cell>
          <cell r="B18">
            <v>5143</v>
          </cell>
          <cell r="C18">
            <v>6721.125669</v>
          </cell>
          <cell r="D18">
            <v>307328.47339</v>
          </cell>
          <cell r="E18">
            <v>8757840789.66695</v>
          </cell>
          <cell r="F18">
            <v>145077464</v>
          </cell>
          <cell r="G18">
            <v>192237383.994232</v>
          </cell>
        </row>
        <row r="19">
          <cell r="A19" t="str">
            <v>50,000-99,999</v>
          </cell>
          <cell r="B19">
            <v>2134</v>
          </cell>
          <cell r="C19">
            <v>2728.219649</v>
          </cell>
          <cell r="D19">
            <v>102181.57891</v>
          </cell>
          <cell r="E19">
            <v>5730845248.2665</v>
          </cell>
          <cell r="F19">
            <v>118459180</v>
          </cell>
          <cell r="G19">
            <v>152221660.27144</v>
          </cell>
        </row>
        <row r="20">
          <cell r="A20" t="str">
            <v>100,000+</v>
          </cell>
          <cell r="B20">
            <v>893</v>
          </cell>
          <cell r="C20">
            <v>1241.614295</v>
          </cell>
          <cell r="D20">
            <v>46132.7229</v>
          </cell>
          <cell r="E20">
            <v>6831671645.7549</v>
          </cell>
          <cell r="F20">
            <v>127752093</v>
          </cell>
          <cell r="G20">
            <v>192200662.702869</v>
          </cell>
        </row>
      </sheetData>
      <sheetData sheetId="8">
        <row r="8">
          <cell r="C8" t="str">
            <v>0</v>
          </cell>
          <cell r="D8">
            <v>154</v>
          </cell>
          <cell r="E8">
            <v>169.237952</v>
          </cell>
          <cell r="F8">
            <v>389001.91457</v>
          </cell>
          <cell r="G8">
            <v>14133365158.15187</v>
          </cell>
          <cell r="H8">
            <v>4534952</v>
          </cell>
          <cell r="I8">
            <v>5220870.728846</v>
          </cell>
        </row>
        <row r="9">
          <cell r="C9" t="str">
            <v>10-17</v>
          </cell>
          <cell r="D9">
            <v>330</v>
          </cell>
          <cell r="E9">
            <v>271.4118</v>
          </cell>
          <cell r="F9">
            <v>359924.66971</v>
          </cell>
          <cell r="G9">
            <v>16935477172.68608</v>
          </cell>
          <cell r="H9">
            <v>12075875</v>
          </cell>
          <cell r="I9">
            <v>12244575.477064</v>
          </cell>
        </row>
        <row r="10">
          <cell r="C10" t="str">
            <v>1-4</v>
          </cell>
          <cell r="D10">
            <v>186</v>
          </cell>
          <cell r="E10">
            <v>171.178206</v>
          </cell>
          <cell r="F10">
            <v>364152.73922</v>
          </cell>
          <cell r="G10">
            <v>14652798885.90815</v>
          </cell>
          <cell r="H10">
            <v>6099535</v>
          </cell>
          <cell r="I10">
            <v>5691334.306481</v>
          </cell>
        </row>
        <row r="11">
          <cell r="C11" t="str">
            <v>18-24</v>
          </cell>
          <cell r="D11">
            <v>725</v>
          </cell>
          <cell r="E11">
            <v>716.839025</v>
          </cell>
          <cell r="F11">
            <v>806573.22887</v>
          </cell>
          <cell r="G11">
            <v>67870774779.81687</v>
          </cell>
          <cell r="H11">
            <v>42884017</v>
          </cell>
          <cell r="I11">
            <v>52240663.079759</v>
          </cell>
        </row>
        <row r="12">
          <cell r="C12" t="str">
            <v>25-29</v>
          </cell>
          <cell r="D12">
            <v>1225</v>
          </cell>
          <cell r="E12">
            <v>1549.643482</v>
          </cell>
          <cell r="F12">
            <v>1354078.36158</v>
          </cell>
          <cell r="G12">
            <v>214113104500.4194</v>
          </cell>
          <cell r="H12">
            <v>117461488</v>
          </cell>
          <cell r="I12">
            <v>178330302.664578</v>
          </cell>
        </row>
        <row r="13">
          <cell r="C13" t="str">
            <v>30-34</v>
          </cell>
          <cell r="D13">
            <v>2064</v>
          </cell>
          <cell r="E13">
            <v>2815.336761</v>
          </cell>
          <cell r="F13">
            <v>1918340.16106</v>
          </cell>
          <cell r="G13">
            <v>487333850224.42804</v>
          </cell>
          <cell r="H13">
            <v>299541228</v>
          </cell>
          <cell r="I13">
            <v>462143550.987689</v>
          </cell>
        </row>
        <row r="14">
          <cell r="C14" t="str">
            <v>35-39</v>
          </cell>
          <cell r="D14">
            <v>2964</v>
          </cell>
          <cell r="E14">
            <v>4071.710203</v>
          </cell>
          <cell r="F14">
            <v>1971022.38885</v>
          </cell>
          <cell r="G14">
            <v>608089900624.6288</v>
          </cell>
          <cell r="H14">
            <v>463159967</v>
          </cell>
          <cell r="I14">
            <v>766004461.342652</v>
          </cell>
        </row>
        <row r="15">
          <cell r="C15" t="str">
            <v>40-49</v>
          </cell>
          <cell r="D15">
            <v>8039</v>
          </cell>
          <cell r="E15">
            <v>11357.413215</v>
          </cell>
          <cell r="F15">
            <v>2960323.58336</v>
          </cell>
          <cell r="G15">
            <v>939434275786.0414</v>
          </cell>
          <cell r="H15">
            <v>1280919739</v>
          </cell>
          <cell r="I15">
            <v>2089665708.348613</v>
          </cell>
        </row>
        <row r="16">
          <cell r="C16" t="str">
            <v>50-59</v>
          </cell>
          <cell r="D16">
            <v>11484</v>
          </cell>
          <cell r="E16">
            <v>15905.391295</v>
          </cell>
          <cell r="F16">
            <v>1607333.3766</v>
          </cell>
          <cell r="G16">
            <v>440813959020.8648</v>
          </cell>
          <cell r="H16">
            <v>1417107330</v>
          </cell>
          <cell r="I16">
            <v>2295451541.031812</v>
          </cell>
        </row>
        <row r="17">
          <cell r="C17" t="str">
            <v>5-9</v>
          </cell>
          <cell r="D17">
            <v>196</v>
          </cell>
          <cell r="E17">
            <v>159.754367</v>
          </cell>
          <cell r="F17">
            <v>261811.36247</v>
          </cell>
          <cell r="G17">
            <v>10993101439.29835</v>
          </cell>
          <cell r="H17">
            <v>5886855</v>
          </cell>
          <cell r="I17">
            <v>5933948.633045</v>
          </cell>
        </row>
        <row r="18">
          <cell r="C18" t="str">
            <v>60-69</v>
          </cell>
          <cell r="D18">
            <v>11869</v>
          </cell>
          <cell r="E18">
            <v>14766.827285</v>
          </cell>
          <cell r="F18">
            <v>561088.73492</v>
          </cell>
          <cell r="G18">
            <v>110887507975.13132</v>
          </cell>
          <cell r="H18">
            <v>1053490436</v>
          </cell>
          <cell r="I18">
            <v>1509473193.104668</v>
          </cell>
        </row>
        <row r="19">
          <cell r="C19" t="str">
            <v>70-79</v>
          </cell>
          <cell r="D19">
            <v>3255</v>
          </cell>
          <cell r="E19">
            <v>3616.155797</v>
          </cell>
          <cell r="F19">
            <v>78923.60382</v>
          </cell>
          <cell r="G19">
            <v>16816180730.25871</v>
          </cell>
          <cell r="H19">
            <v>332598929</v>
          </cell>
          <cell r="I19">
            <v>479000056.093297</v>
          </cell>
        </row>
        <row r="20">
          <cell r="C20" t="str">
            <v>80+</v>
          </cell>
          <cell r="D20">
            <v>190</v>
          </cell>
          <cell r="E20">
            <v>233.344897</v>
          </cell>
          <cell r="F20">
            <v>3986.06976</v>
          </cell>
          <cell r="G20">
            <v>2474108221.62826</v>
          </cell>
          <cell r="H20">
            <v>60431293</v>
          </cell>
          <cell r="I20">
            <v>103576751.055814</v>
          </cell>
        </row>
        <row r="21">
          <cell r="C21" t="str">
            <v>0</v>
          </cell>
          <cell r="D21">
            <v>27</v>
          </cell>
          <cell r="E21">
            <v>38.031973</v>
          </cell>
          <cell r="F21">
            <v>68306.28783</v>
          </cell>
          <cell r="G21">
            <v>2752246817.06752</v>
          </cell>
          <cell r="H21">
            <v>697885</v>
          </cell>
          <cell r="I21">
            <v>1196181.640177</v>
          </cell>
        </row>
        <row r="22">
          <cell r="C22" t="str">
            <v>10-17</v>
          </cell>
          <cell r="D22">
            <v>132</v>
          </cell>
          <cell r="E22">
            <v>150.331653</v>
          </cell>
          <cell r="F22">
            <v>104198.61515</v>
          </cell>
          <cell r="G22">
            <v>5766840813.11735</v>
          </cell>
          <cell r="H22">
            <v>6294958</v>
          </cell>
          <cell r="I22">
            <v>7178449.909017</v>
          </cell>
        </row>
        <row r="23">
          <cell r="C23" t="str">
            <v>1-4</v>
          </cell>
          <cell r="D23">
            <v>36</v>
          </cell>
          <cell r="E23">
            <v>46.237002</v>
          </cell>
          <cell r="F23">
            <v>71518.08924</v>
          </cell>
          <cell r="G23">
            <v>4088964347.61918</v>
          </cell>
          <cell r="H23">
            <v>1195013</v>
          </cell>
          <cell r="I23">
            <v>1974572.741002</v>
          </cell>
        </row>
        <row r="24">
          <cell r="C24" t="str">
            <v>18-24</v>
          </cell>
          <cell r="D24">
            <v>308</v>
          </cell>
          <cell r="E24">
            <v>341.40138</v>
          </cell>
          <cell r="F24">
            <v>185891.86296</v>
          </cell>
          <cell r="G24">
            <v>10616329268.39274</v>
          </cell>
          <cell r="H24">
            <v>11793420</v>
          </cell>
          <cell r="I24">
            <v>15870358.419296</v>
          </cell>
        </row>
        <row r="25">
          <cell r="C25" t="str">
            <v>25-29</v>
          </cell>
          <cell r="D25">
            <v>552</v>
          </cell>
          <cell r="E25">
            <v>626.307673</v>
          </cell>
          <cell r="F25">
            <v>242387.91946</v>
          </cell>
          <cell r="G25">
            <v>23548843371.947727</v>
          </cell>
          <cell r="H25">
            <v>33745733</v>
          </cell>
          <cell r="I25">
            <v>42642843.431412</v>
          </cell>
        </row>
        <row r="26">
          <cell r="C26" t="str">
            <v>30-34</v>
          </cell>
          <cell r="D26">
            <v>898</v>
          </cell>
          <cell r="E26">
            <v>1138.618011</v>
          </cell>
          <cell r="F26">
            <v>312391.16868</v>
          </cell>
          <cell r="G26">
            <v>41685368543.84871</v>
          </cell>
          <cell r="H26">
            <v>83103197</v>
          </cell>
          <cell r="I26">
            <v>98295044.927467</v>
          </cell>
        </row>
        <row r="27">
          <cell r="C27" t="str">
            <v>35-39</v>
          </cell>
          <cell r="D27">
            <v>1373</v>
          </cell>
          <cell r="E27">
            <v>1667.884041</v>
          </cell>
          <cell r="F27">
            <v>310883.6703</v>
          </cell>
          <cell r="G27">
            <v>45463612322.135925</v>
          </cell>
          <cell r="H27">
            <v>97854243</v>
          </cell>
          <cell r="I27">
            <v>155893256.739968</v>
          </cell>
        </row>
        <row r="28">
          <cell r="C28" t="str">
            <v>40-49</v>
          </cell>
          <cell r="D28">
            <v>4109</v>
          </cell>
          <cell r="E28">
            <v>4563.825441</v>
          </cell>
          <cell r="F28">
            <v>459542.27914</v>
          </cell>
          <cell r="G28">
            <v>64661249958.70177</v>
          </cell>
          <cell r="H28">
            <v>320214499</v>
          </cell>
          <cell r="I28">
            <v>402348313.479268</v>
          </cell>
        </row>
        <row r="29">
          <cell r="C29" t="str">
            <v>50-59</v>
          </cell>
          <cell r="D29">
            <v>5088</v>
          </cell>
          <cell r="E29">
            <v>5026.330931</v>
          </cell>
          <cell r="F29">
            <v>216231.25532</v>
          </cell>
          <cell r="G29">
            <v>25260462068.34572</v>
          </cell>
          <cell r="H29">
            <v>330695205</v>
          </cell>
          <cell r="I29">
            <v>354057862.583414</v>
          </cell>
        </row>
        <row r="30">
          <cell r="C30" t="str">
            <v>5-9</v>
          </cell>
          <cell r="D30">
            <v>51</v>
          </cell>
          <cell r="E30">
            <v>55.011709</v>
          </cell>
          <cell r="F30">
            <v>55534.61553</v>
          </cell>
          <cell r="G30">
            <v>3418542249.4262</v>
          </cell>
          <cell r="H30">
            <v>1596604</v>
          </cell>
          <cell r="I30">
            <v>2635154.564295</v>
          </cell>
        </row>
        <row r="31">
          <cell r="C31" t="str">
            <v>60-69</v>
          </cell>
          <cell r="D31">
            <v>3561</v>
          </cell>
          <cell r="E31">
            <v>3739.372768</v>
          </cell>
          <cell r="F31">
            <v>67323.52977</v>
          </cell>
          <cell r="G31">
            <v>4768310382.45134</v>
          </cell>
          <cell r="H31">
            <v>157949223</v>
          </cell>
          <cell r="I31">
            <v>179063272.991473</v>
          </cell>
        </row>
        <row r="32">
          <cell r="C32" t="str">
            <v>70-79</v>
          </cell>
          <cell r="D32">
            <v>644</v>
          </cell>
          <cell r="E32">
            <v>739.978018</v>
          </cell>
          <cell r="F32">
            <v>7794.06103</v>
          </cell>
          <cell r="G32">
            <v>459547403.4317</v>
          </cell>
          <cell r="H32">
            <v>32773113</v>
          </cell>
          <cell r="I32">
            <v>35864166.892448</v>
          </cell>
        </row>
        <row r="33">
          <cell r="C33" t="str">
            <v>80+</v>
          </cell>
          <cell r="D33">
            <v>38</v>
          </cell>
          <cell r="E33">
            <v>53.223837</v>
          </cell>
          <cell r="F33">
            <v>415.79515</v>
          </cell>
          <cell r="G33">
            <v>40774439.58349</v>
          </cell>
          <cell r="H33">
            <v>3338627</v>
          </cell>
          <cell r="I33">
            <v>5129532.39429</v>
          </cell>
        </row>
        <row r="34">
          <cell r="C34" t="str">
            <v>0</v>
          </cell>
          <cell r="D34">
            <v>73</v>
          </cell>
          <cell r="E34">
            <v>86.780007</v>
          </cell>
          <cell r="F34">
            <v>367332.77373</v>
          </cell>
          <cell r="G34">
            <v>13376658079.97325</v>
          </cell>
          <cell r="H34">
            <v>2139000</v>
          </cell>
          <cell r="I34">
            <v>2872647.713995</v>
          </cell>
        </row>
        <row r="35">
          <cell r="C35" t="str">
            <v>10-17</v>
          </cell>
          <cell r="D35">
            <v>129</v>
          </cell>
          <cell r="E35">
            <v>131.04208</v>
          </cell>
          <cell r="F35">
            <v>328510.53466</v>
          </cell>
          <cell r="G35">
            <v>14757874536.3105</v>
          </cell>
          <cell r="H35">
            <v>4189534</v>
          </cell>
          <cell r="I35">
            <v>5304945.42273</v>
          </cell>
        </row>
        <row r="36">
          <cell r="C36" t="str">
            <v>1-4</v>
          </cell>
          <cell r="D36">
            <v>55</v>
          </cell>
          <cell r="E36">
            <v>83.279435</v>
          </cell>
          <cell r="F36">
            <v>338436.65029</v>
          </cell>
          <cell r="G36">
            <v>13660342640.51518</v>
          </cell>
          <cell r="H36">
            <v>1603615</v>
          </cell>
          <cell r="I36">
            <v>2980894.231742</v>
          </cell>
        </row>
        <row r="37">
          <cell r="C37" t="str">
            <v>18-24</v>
          </cell>
          <cell r="D37">
            <v>404</v>
          </cell>
          <cell r="E37">
            <v>450.890608</v>
          </cell>
          <cell r="F37">
            <v>806211.31319</v>
          </cell>
          <cell r="G37">
            <v>58588320545.872086</v>
          </cell>
          <cell r="H37">
            <v>20304622</v>
          </cell>
          <cell r="I37">
            <v>26029834.685871</v>
          </cell>
        </row>
        <row r="38">
          <cell r="C38" t="str">
            <v>25-29</v>
          </cell>
          <cell r="D38">
            <v>735</v>
          </cell>
          <cell r="E38">
            <v>918.943474</v>
          </cell>
          <cell r="F38">
            <v>1244332.74198</v>
          </cell>
          <cell r="G38">
            <v>152220159931.39896</v>
          </cell>
          <cell r="H38">
            <v>53752785</v>
          </cell>
          <cell r="I38">
            <v>77243763.188591</v>
          </cell>
        </row>
        <row r="39">
          <cell r="C39" t="str">
            <v>30-34</v>
          </cell>
          <cell r="D39">
            <v>1127</v>
          </cell>
          <cell r="E39">
            <v>1588.310147</v>
          </cell>
          <cell r="F39">
            <v>1551247.86744</v>
          </cell>
          <cell r="G39">
            <v>262610649454.61002</v>
          </cell>
          <cell r="H39">
            <v>108354585</v>
          </cell>
          <cell r="I39">
            <v>163768880.755695</v>
          </cell>
        </row>
        <row r="40">
          <cell r="C40" t="str">
            <v>35-39</v>
          </cell>
          <cell r="D40">
            <v>1474</v>
          </cell>
          <cell r="E40">
            <v>2264.050387</v>
          </cell>
          <cell r="F40">
            <v>1448993.09328</v>
          </cell>
          <cell r="G40">
            <v>264013110569.97772</v>
          </cell>
          <cell r="H40">
            <v>139343720</v>
          </cell>
          <cell r="I40">
            <v>237206133.782451</v>
          </cell>
        </row>
        <row r="41">
          <cell r="C41" t="str">
            <v>40-49</v>
          </cell>
          <cell r="D41">
            <v>3756</v>
          </cell>
          <cell r="E41">
            <v>6070.308974</v>
          </cell>
          <cell r="F41">
            <v>2005259.97261</v>
          </cell>
          <cell r="G41">
            <v>326942055715.9978</v>
          </cell>
          <cell r="H41">
            <v>324814982</v>
          </cell>
          <cell r="I41">
            <v>556370402.664454</v>
          </cell>
        </row>
        <row r="42">
          <cell r="C42" t="str">
            <v>50-59</v>
          </cell>
          <cell r="D42">
            <v>5559</v>
          </cell>
          <cell r="E42">
            <v>8029.178329</v>
          </cell>
          <cell r="F42">
            <v>1016285.40532</v>
          </cell>
          <cell r="G42">
            <v>125374979035.92876</v>
          </cell>
          <cell r="H42">
            <v>346979128</v>
          </cell>
          <cell r="I42">
            <v>498896146.824157</v>
          </cell>
        </row>
        <row r="43">
          <cell r="C43" t="str">
            <v>5-9</v>
          </cell>
          <cell r="D43">
            <v>79</v>
          </cell>
          <cell r="E43">
            <v>73.309285</v>
          </cell>
          <cell r="F43">
            <v>246556.52262</v>
          </cell>
          <cell r="G43">
            <v>10307209680.83124</v>
          </cell>
          <cell r="H43">
            <v>2310717</v>
          </cell>
          <cell r="I43">
            <v>2740594.88385</v>
          </cell>
        </row>
        <row r="44">
          <cell r="C44" t="str">
            <v>60-69</v>
          </cell>
          <cell r="D44">
            <v>7563</v>
          </cell>
          <cell r="E44">
            <v>9414.487944</v>
          </cell>
          <cell r="F44">
            <v>453423.4131</v>
          </cell>
          <cell r="G44">
            <v>44082983830.652306</v>
          </cell>
          <cell r="H44">
            <v>352722958</v>
          </cell>
          <cell r="I44">
            <v>527819311.232833</v>
          </cell>
        </row>
        <row r="45">
          <cell r="C45" t="str">
            <v>70-79</v>
          </cell>
          <cell r="D45">
            <v>3727</v>
          </cell>
          <cell r="E45">
            <v>3905.133857</v>
          </cell>
          <cell r="F45">
            <v>108630.62744</v>
          </cell>
          <cell r="G45">
            <v>19229802589.60522</v>
          </cell>
          <cell r="H45">
            <v>296548537</v>
          </cell>
          <cell r="I45">
            <v>438735208.221877</v>
          </cell>
        </row>
        <row r="46">
          <cell r="C46" t="str">
            <v>80+</v>
          </cell>
          <cell r="D46">
            <v>348</v>
          </cell>
          <cell r="E46">
            <v>420.946277</v>
          </cell>
          <cell r="F46">
            <v>9012.51238</v>
          </cell>
          <cell r="G46">
            <v>4537412854.37611</v>
          </cell>
          <cell r="H46">
            <v>108040225</v>
          </cell>
          <cell r="I46">
            <v>167816149.493203</v>
          </cell>
        </row>
        <row r="47">
          <cell r="C47" t="str">
            <v>0</v>
          </cell>
          <cell r="D47">
            <v>6</v>
          </cell>
          <cell r="E47">
            <v>17.769699</v>
          </cell>
          <cell r="F47">
            <v>63556.8653</v>
          </cell>
          <cell r="G47">
            <v>2565117369.12274</v>
          </cell>
          <cell r="H47">
            <v>158900</v>
          </cell>
          <cell r="I47">
            <v>600514.276265</v>
          </cell>
        </row>
        <row r="48">
          <cell r="C48" t="str">
            <v>10-17</v>
          </cell>
          <cell r="D48">
            <v>36</v>
          </cell>
          <cell r="E48">
            <v>70.284821</v>
          </cell>
          <cell r="F48">
            <v>88617.56904</v>
          </cell>
          <cell r="G48">
            <v>4706778788.956</v>
          </cell>
          <cell r="H48">
            <v>1132941</v>
          </cell>
          <cell r="I48">
            <v>2863414.69275</v>
          </cell>
        </row>
        <row r="49">
          <cell r="C49" t="str">
            <v>1-4</v>
          </cell>
          <cell r="D49">
            <v>13</v>
          </cell>
          <cell r="E49">
            <v>20.206206</v>
          </cell>
          <cell r="F49">
            <v>65231.03065</v>
          </cell>
          <cell r="G49">
            <v>3669151129.04483</v>
          </cell>
          <cell r="H49">
            <v>527538</v>
          </cell>
          <cell r="I49">
            <v>910871.552959</v>
          </cell>
        </row>
        <row r="50">
          <cell r="C50" t="str">
            <v>18-24</v>
          </cell>
          <cell r="D50">
            <v>150</v>
          </cell>
          <cell r="E50">
            <v>185.652797</v>
          </cell>
          <cell r="F50">
            <v>151677.68237</v>
          </cell>
          <cell r="G50">
            <v>7341392544.11658</v>
          </cell>
          <cell r="H50">
            <v>4597696</v>
          </cell>
          <cell r="I50">
            <v>6606936.042623</v>
          </cell>
        </row>
        <row r="51">
          <cell r="C51" t="str">
            <v>25-29</v>
          </cell>
          <cell r="D51">
            <v>238</v>
          </cell>
          <cell r="E51">
            <v>309.80626</v>
          </cell>
          <cell r="F51">
            <v>163610.06529</v>
          </cell>
          <cell r="G51">
            <v>11554538275.11883</v>
          </cell>
          <cell r="H51">
            <v>9857616</v>
          </cell>
          <cell r="I51">
            <v>14561351.014775</v>
          </cell>
        </row>
        <row r="52">
          <cell r="C52" t="str">
            <v>30-34</v>
          </cell>
          <cell r="D52">
            <v>401</v>
          </cell>
          <cell r="E52">
            <v>559.55338</v>
          </cell>
          <cell r="F52">
            <v>192019.40092</v>
          </cell>
          <cell r="G52">
            <v>16519988823.01592</v>
          </cell>
          <cell r="H52">
            <v>18557555</v>
          </cell>
          <cell r="I52">
            <v>29735073.441855</v>
          </cell>
        </row>
        <row r="53">
          <cell r="C53" t="str">
            <v>35-39</v>
          </cell>
          <cell r="D53">
            <v>595</v>
          </cell>
          <cell r="E53">
            <v>867.085486</v>
          </cell>
          <cell r="F53">
            <v>193810.76683</v>
          </cell>
          <cell r="G53">
            <v>17267389775.77394</v>
          </cell>
          <cell r="H53">
            <v>31298737</v>
          </cell>
          <cell r="I53">
            <v>46110837.066374</v>
          </cell>
        </row>
        <row r="54">
          <cell r="C54" t="str">
            <v>40-49</v>
          </cell>
          <cell r="D54">
            <v>2226</v>
          </cell>
          <cell r="E54">
            <v>2607.939163</v>
          </cell>
          <cell r="F54">
            <v>305359.18033</v>
          </cell>
          <cell r="G54">
            <v>23518044111.8006</v>
          </cell>
          <cell r="H54">
            <v>85050077</v>
          </cell>
          <cell r="I54">
            <v>118076929.124443</v>
          </cell>
        </row>
        <row r="55">
          <cell r="C55" t="str">
            <v>50-59</v>
          </cell>
          <cell r="D55">
            <v>3388</v>
          </cell>
          <cell r="E55">
            <v>3387.922587</v>
          </cell>
          <cell r="F55">
            <v>166593.91146</v>
          </cell>
          <cell r="G55">
            <v>9401856239.60867</v>
          </cell>
          <cell r="H55">
            <v>91666777</v>
          </cell>
          <cell r="I55">
            <v>111709826.266775</v>
          </cell>
        </row>
        <row r="56">
          <cell r="C56" t="str">
            <v>5-9</v>
          </cell>
          <cell r="D56">
            <v>19</v>
          </cell>
          <cell r="E56">
            <v>22.06097</v>
          </cell>
          <cell r="F56">
            <v>50116.72595</v>
          </cell>
          <cell r="G56">
            <v>3057896100.75709</v>
          </cell>
          <cell r="H56">
            <v>1170913</v>
          </cell>
          <cell r="I56">
            <v>1074291.370962</v>
          </cell>
        </row>
        <row r="57">
          <cell r="C57" t="str">
            <v>60-69</v>
          </cell>
          <cell r="D57">
            <v>4027</v>
          </cell>
          <cell r="E57">
            <v>3900.293452</v>
          </cell>
          <cell r="F57">
            <v>91570.2645</v>
          </cell>
          <cell r="G57">
            <v>3736948139.89835</v>
          </cell>
          <cell r="H57">
            <v>101658913</v>
          </cell>
          <cell r="I57">
            <v>106916438.187184</v>
          </cell>
        </row>
        <row r="58">
          <cell r="C58" t="str">
            <v>70-79</v>
          </cell>
          <cell r="D58">
            <v>866</v>
          </cell>
          <cell r="E58">
            <v>726.32087</v>
          </cell>
          <cell r="F58">
            <v>11425.61326</v>
          </cell>
          <cell r="G58">
            <v>1003231882.60498</v>
          </cell>
          <cell r="H58">
            <v>59998268</v>
          </cell>
          <cell r="I58">
            <v>42674961.291228</v>
          </cell>
        </row>
        <row r="59">
          <cell r="C59" t="str">
            <v>80+</v>
          </cell>
          <cell r="D59">
            <v>71</v>
          </cell>
          <cell r="E59">
            <v>63.077174</v>
          </cell>
          <cell r="F59">
            <v>711.06614</v>
          </cell>
          <cell r="G59">
            <v>119415740.15667</v>
          </cell>
          <cell r="H59">
            <v>10779314</v>
          </cell>
          <cell r="I59">
            <v>8698744.481802</v>
          </cell>
        </row>
        <row r="62">
          <cell r="C62" t="str">
            <v>1</v>
          </cell>
          <cell r="D62">
            <v>514</v>
          </cell>
          <cell r="E62">
            <v>619.355829</v>
          </cell>
          <cell r="F62">
            <v>836120.18234</v>
          </cell>
          <cell r="G62">
            <v>379239749598.6403</v>
          </cell>
          <cell r="H62">
            <v>179188112</v>
          </cell>
          <cell r="I62">
            <v>294028597.658029</v>
          </cell>
        </row>
        <row r="63">
          <cell r="C63" t="str">
            <v>11-15</v>
          </cell>
          <cell r="D63">
            <v>9604</v>
          </cell>
          <cell r="E63">
            <v>13097.084412</v>
          </cell>
          <cell r="F63">
            <v>2447706.78618</v>
          </cell>
          <cell r="G63">
            <v>327740573903.3747</v>
          </cell>
          <cell r="H63">
            <v>1050554934</v>
          </cell>
          <cell r="I63">
            <v>1700466855.635377</v>
          </cell>
        </row>
        <row r="64">
          <cell r="C64" t="str">
            <v>16-20</v>
          </cell>
          <cell r="D64">
            <v>15469</v>
          </cell>
          <cell r="E64">
            <v>20298.184102</v>
          </cell>
          <cell r="F64">
            <v>2346062.9652</v>
          </cell>
          <cell r="G64">
            <v>213735302422.6376</v>
          </cell>
          <cell r="H64">
            <v>1168555314</v>
          </cell>
          <cell r="I64">
            <v>1759228654.299442</v>
          </cell>
        </row>
        <row r="65">
          <cell r="C65" t="str">
            <v>2</v>
          </cell>
          <cell r="D65">
            <v>755</v>
          </cell>
          <cell r="E65">
            <v>908.111991</v>
          </cell>
          <cell r="F65">
            <v>870077.07405</v>
          </cell>
          <cell r="G65">
            <v>383899351284.58264</v>
          </cell>
          <cell r="H65">
            <v>229025864</v>
          </cell>
          <cell r="I65">
            <v>399171080.800536</v>
          </cell>
        </row>
        <row r="66">
          <cell r="C66" t="str">
            <v>21-25</v>
          </cell>
          <cell r="D66">
            <v>7388</v>
          </cell>
          <cell r="E66">
            <v>9584.532793</v>
          </cell>
          <cell r="F66">
            <v>993088.03678</v>
          </cell>
          <cell r="G66">
            <v>60448836722.40877</v>
          </cell>
          <cell r="H66">
            <v>452295149</v>
          </cell>
          <cell r="I66">
            <v>619412169.731764</v>
          </cell>
        </row>
        <row r="67">
          <cell r="C67" t="str">
            <v>3</v>
          </cell>
          <cell r="D67">
            <v>966</v>
          </cell>
          <cell r="E67">
            <v>1119.65863</v>
          </cell>
          <cell r="F67">
            <v>851206.04759</v>
          </cell>
          <cell r="G67">
            <v>346398671918.41266</v>
          </cell>
          <cell r="H67">
            <v>313667613</v>
          </cell>
          <cell r="I67">
            <v>436661720.072184</v>
          </cell>
        </row>
        <row r="68">
          <cell r="C68" t="str">
            <v>4-5</v>
          </cell>
          <cell r="D68">
            <v>1930</v>
          </cell>
          <cell r="E68">
            <v>2283.514055</v>
          </cell>
          <cell r="F68">
            <v>1371484.57299</v>
          </cell>
          <cell r="G68">
            <v>476782056254.0293</v>
          </cell>
          <cell r="H68">
            <v>538347100</v>
          </cell>
          <cell r="I68">
            <v>786679312.703047</v>
          </cell>
        </row>
        <row r="69">
          <cell r="C69" t="str">
            <v>6-10</v>
          </cell>
          <cell r="D69">
            <v>6055</v>
          </cell>
          <cell r="E69">
            <v>7893.802473</v>
          </cell>
          <cell r="F69">
            <v>2920814.52966</v>
          </cell>
          <cell r="G69">
            <v>756303862415.1759</v>
          </cell>
          <cell r="H69">
            <v>1164557558</v>
          </cell>
          <cell r="I69">
            <v>1969328565.953939</v>
          </cell>
        </row>
        <row r="70">
          <cell r="C70" t="str">
            <v>1</v>
          </cell>
          <cell r="D70">
            <v>154</v>
          </cell>
          <cell r="E70">
            <v>144.128239</v>
          </cell>
          <cell r="F70">
            <v>118085.35965</v>
          </cell>
          <cell r="G70">
            <v>27357882272.23088</v>
          </cell>
          <cell r="H70">
            <v>23126358</v>
          </cell>
          <cell r="I70">
            <v>31956365.030908</v>
          </cell>
        </row>
        <row r="71">
          <cell r="C71" t="str">
            <v>11-15</v>
          </cell>
          <cell r="D71">
            <v>3435</v>
          </cell>
          <cell r="E71">
            <v>3691.169742</v>
          </cell>
          <cell r="F71">
            <v>409730.4734</v>
          </cell>
          <cell r="G71">
            <v>32966978478.882633</v>
          </cell>
          <cell r="H71">
            <v>211875216</v>
          </cell>
          <cell r="I71">
            <v>275601154.77324</v>
          </cell>
        </row>
        <row r="72">
          <cell r="C72" t="str">
            <v>16-20</v>
          </cell>
          <cell r="D72">
            <v>6620</v>
          </cell>
          <cell r="E72">
            <v>7332.075317</v>
          </cell>
          <cell r="F72">
            <v>491646.58628</v>
          </cell>
          <cell r="G72">
            <v>28410888328.036007</v>
          </cell>
          <cell r="H72">
            <v>319584277</v>
          </cell>
          <cell r="I72">
            <v>393274253.387614</v>
          </cell>
        </row>
        <row r="73">
          <cell r="C73" t="str">
            <v>2</v>
          </cell>
          <cell r="D73">
            <v>233</v>
          </cell>
          <cell r="E73">
            <v>183.79026</v>
          </cell>
          <cell r="F73">
            <v>104917.77132</v>
          </cell>
          <cell r="G73">
            <v>23072152256.152153</v>
          </cell>
          <cell r="H73">
            <v>52893549</v>
          </cell>
          <cell r="I73">
            <v>38426128.551235</v>
          </cell>
        </row>
        <row r="74">
          <cell r="C74" t="str">
            <v>21-25</v>
          </cell>
          <cell r="D74">
            <v>3650</v>
          </cell>
          <cell r="E74">
            <v>4136.165611</v>
          </cell>
          <cell r="F74">
            <v>271944.35607</v>
          </cell>
          <cell r="G74">
            <v>11338663264.09373</v>
          </cell>
          <cell r="H74">
            <v>148673235</v>
          </cell>
          <cell r="I74">
            <v>189264455.815625</v>
          </cell>
        </row>
        <row r="75">
          <cell r="C75" t="str">
            <v>3</v>
          </cell>
          <cell r="D75">
            <v>266</v>
          </cell>
          <cell r="E75">
            <v>237.134531</v>
          </cell>
          <cell r="F75">
            <v>106323.67705</v>
          </cell>
          <cell r="G75">
            <v>21720883374.55419</v>
          </cell>
          <cell r="H75">
            <v>36871758</v>
          </cell>
          <cell r="I75">
            <v>45394273.09565</v>
          </cell>
        </row>
        <row r="76">
          <cell r="C76" t="str">
            <v>4-5</v>
          </cell>
          <cell r="D76">
            <v>564</v>
          </cell>
          <cell r="E76">
            <v>530.196162</v>
          </cell>
          <cell r="F76">
            <v>187285.37498</v>
          </cell>
          <cell r="G76">
            <v>33647324424.5805</v>
          </cell>
          <cell r="H76">
            <v>83411648</v>
          </cell>
          <cell r="I76">
            <v>88715353.089787</v>
          </cell>
        </row>
        <row r="77">
          <cell r="C77" t="str">
            <v>6-10</v>
          </cell>
          <cell r="D77">
            <v>1895</v>
          </cell>
          <cell r="E77">
            <v>1931.894575</v>
          </cell>
          <cell r="F77">
            <v>412485.55081</v>
          </cell>
          <cell r="G77">
            <v>54016319587.53929</v>
          </cell>
          <cell r="H77">
            <v>204815679</v>
          </cell>
          <cell r="I77">
            <v>239517026.969468</v>
          </cell>
        </row>
        <row r="78">
          <cell r="C78" t="str">
            <v>1</v>
          </cell>
          <cell r="D78">
            <v>254</v>
          </cell>
          <cell r="E78">
            <v>353.088482</v>
          </cell>
          <cell r="F78">
            <v>671559.87981</v>
          </cell>
          <cell r="G78">
            <v>172225387689.42538</v>
          </cell>
          <cell r="H78">
            <v>43668829</v>
          </cell>
          <cell r="I78">
            <v>114134416.433944</v>
          </cell>
        </row>
        <row r="79">
          <cell r="C79" t="str">
            <v>11-15</v>
          </cell>
          <cell r="D79">
            <v>6680</v>
          </cell>
          <cell r="E79">
            <v>9294.407485</v>
          </cell>
          <cell r="F79">
            <v>2037602.81666</v>
          </cell>
          <cell r="G79">
            <v>160348150748.55576</v>
          </cell>
          <cell r="H79">
            <v>457557718</v>
          </cell>
          <cell r="I79">
            <v>708605313.353858</v>
          </cell>
        </row>
        <row r="80">
          <cell r="C80" t="str">
            <v>16-20</v>
          </cell>
          <cell r="D80">
            <v>8064</v>
          </cell>
          <cell r="E80">
            <v>11505.125099</v>
          </cell>
          <cell r="F80">
            <v>1771587.8809</v>
          </cell>
          <cell r="G80">
            <v>92457851249.47243</v>
          </cell>
          <cell r="H80">
            <v>328322017</v>
          </cell>
          <cell r="I80">
            <v>520190887.23224</v>
          </cell>
        </row>
        <row r="81">
          <cell r="C81" t="str">
            <v>2</v>
          </cell>
          <cell r="D81">
            <v>373</v>
          </cell>
          <cell r="E81">
            <v>490.905327</v>
          </cell>
          <cell r="F81">
            <v>669420.3795</v>
          </cell>
          <cell r="G81">
            <v>164695445988.61374</v>
          </cell>
          <cell r="H81">
            <v>119763875</v>
          </cell>
          <cell r="I81">
            <v>143273834.162271</v>
          </cell>
        </row>
        <row r="82">
          <cell r="C82" t="str">
            <v>21-25</v>
          </cell>
          <cell r="D82">
            <v>4115</v>
          </cell>
          <cell r="E82">
            <v>5169.70108</v>
          </cell>
          <cell r="F82">
            <v>695361.31543</v>
          </cell>
          <cell r="G82">
            <v>22963287088.19892</v>
          </cell>
          <cell r="H82">
            <v>100775358</v>
          </cell>
          <cell r="I82">
            <v>139613177.99104</v>
          </cell>
        </row>
        <row r="83">
          <cell r="C83" t="str">
            <v>3</v>
          </cell>
          <cell r="D83">
            <v>524</v>
          </cell>
          <cell r="E83">
            <v>578.362083</v>
          </cell>
          <cell r="F83">
            <v>663031.64666</v>
          </cell>
          <cell r="G83">
            <v>150479794025.38406</v>
          </cell>
          <cell r="H83">
            <v>91395285</v>
          </cell>
          <cell r="I83">
            <v>141752612.243665</v>
          </cell>
        </row>
        <row r="84">
          <cell r="C84" t="str">
            <v>4-5</v>
          </cell>
          <cell r="D84">
            <v>1055</v>
          </cell>
          <cell r="E84">
            <v>1209.507995</v>
          </cell>
          <cell r="F84">
            <v>1096345.75709</v>
          </cell>
          <cell r="G84">
            <v>213404991060.24484</v>
          </cell>
          <cell r="H84">
            <v>204379786</v>
          </cell>
          <cell r="I84">
            <v>257777830.592278</v>
          </cell>
        </row>
        <row r="85">
          <cell r="C85" t="str">
            <v>6-10</v>
          </cell>
          <cell r="D85">
            <v>3964</v>
          </cell>
          <cell r="E85">
            <v>4835.563253</v>
          </cell>
          <cell r="F85">
            <v>2319323.75199</v>
          </cell>
          <cell r="G85">
            <v>333126651616.1541</v>
          </cell>
          <cell r="H85">
            <v>415241540</v>
          </cell>
          <cell r="I85">
            <v>682436841.092153</v>
          </cell>
        </row>
        <row r="86">
          <cell r="C86" t="str">
            <v>1</v>
          </cell>
          <cell r="D86">
            <v>57</v>
          </cell>
          <cell r="E86">
            <v>64.22245</v>
          </cell>
          <cell r="F86">
            <v>70739.11131</v>
          </cell>
          <cell r="G86">
            <v>10773067463.54637</v>
          </cell>
          <cell r="H86">
            <v>5666407</v>
          </cell>
          <cell r="I86">
            <v>10197918.803664</v>
          </cell>
        </row>
        <row r="87">
          <cell r="C87" t="str">
            <v>11-15</v>
          </cell>
          <cell r="D87">
            <v>2857</v>
          </cell>
          <cell r="E87">
            <v>2914.973001</v>
          </cell>
          <cell r="F87">
            <v>339309.74709</v>
          </cell>
          <cell r="G87">
            <v>18201851716.17499</v>
          </cell>
          <cell r="H87">
            <v>108368983</v>
          </cell>
          <cell r="I87">
            <v>129465388.610565</v>
          </cell>
        </row>
        <row r="88">
          <cell r="C88" t="str">
            <v>16-20</v>
          </cell>
          <cell r="D88">
            <v>4876</v>
          </cell>
          <cell r="E88">
            <v>5540.587</v>
          </cell>
          <cell r="F88">
            <v>401214.255</v>
          </cell>
          <cell r="G88">
            <v>14701518370.72303</v>
          </cell>
          <cell r="H88">
            <v>118422238</v>
          </cell>
          <cell r="I88">
            <v>158046633.996372</v>
          </cell>
        </row>
        <row r="89">
          <cell r="C89" t="str">
            <v>2</v>
          </cell>
          <cell r="D89">
            <v>90</v>
          </cell>
          <cell r="E89">
            <v>82.137118</v>
          </cell>
          <cell r="F89">
            <v>62077.50472</v>
          </cell>
          <cell r="G89">
            <v>8962368352.39366</v>
          </cell>
          <cell r="H89">
            <v>8705046</v>
          </cell>
          <cell r="I89">
            <v>12551098.982576</v>
          </cell>
        </row>
        <row r="90">
          <cell r="C90" t="str">
            <v>21-25</v>
          </cell>
          <cell r="D90">
            <v>2384</v>
          </cell>
          <cell r="E90">
            <v>2622.278345</v>
          </cell>
          <cell r="F90">
            <v>197937.58568</v>
          </cell>
          <cell r="G90">
            <v>4555093363.71931</v>
          </cell>
          <cell r="H90">
            <v>45527585</v>
          </cell>
          <cell r="I90">
            <v>48413692.364432</v>
          </cell>
        </row>
        <row r="91">
          <cell r="C91" t="str">
            <v>3</v>
          </cell>
          <cell r="D91">
            <v>118</v>
          </cell>
          <cell r="E91">
            <v>105.324085</v>
          </cell>
          <cell r="F91">
            <v>64615.41547</v>
          </cell>
          <cell r="G91">
            <v>8528874880.5624</v>
          </cell>
          <cell r="H91">
            <v>19871532</v>
          </cell>
          <cell r="I91">
            <v>14033418.728364</v>
          </cell>
        </row>
        <row r="92">
          <cell r="C92" t="str">
            <v>4-5</v>
          </cell>
          <cell r="D92">
            <v>303</v>
          </cell>
          <cell r="E92">
            <v>244.125534</v>
          </cell>
          <cell r="F92">
            <v>118308.88287</v>
          </cell>
          <cell r="G92">
            <v>13981075732.74038</v>
          </cell>
          <cell r="H92">
            <v>33952757</v>
          </cell>
          <cell r="I92">
            <v>28250854.263563</v>
          </cell>
        </row>
        <row r="93">
          <cell r="C93" t="str">
            <v>6-10</v>
          </cell>
          <cell r="D93">
            <v>1351</v>
          </cell>
          <cell r="E93">
            <v>1164.325332</v>
          </cell>
          <cell r="F93">
            <v>290097.6399</v>
          </cell>
          <cell r="G93">
            <v>24757899040.11506</v>
          </cell>
          <cell r="H93">
            <v>75940697</v>
          </cell>
          <cell r="I93">
            <v>89581183.060459</v>
          </cell>
        </row>
        <row r="96">
          <cell r="C96" t="str">
            <v>1,000,000-2,499,999</v>
          </cell>
          <cell r="D96">
            <v>699</v>
          </cell>
          <cell r="E96">
            <v>1269.748451</v>
          </cell>
          <cell r="F96">
            <v>645758.60794</v>
          </cell>
          <cell r="G96">
            <v>784581777492.2941</v>
          </cell>
          <cell r="H96">
            <v>841021555</v>
          </cell>
          <cell r="I96">
            <v>1563063801.168611</v>
          </cell>
        </row>
        <row r="97">
          <cell r="C97" t="str">
            <v>10,000-24,999</v>
          </cell>
          <cell r="D97">
            <v>6952</v>
          </cell>
          <cell r="E97">
            <v>7680.553841</v>
          </cell>
          <cell r="F97">
            <v>1093064.85229</v>
          </cell>
          <cell r="G97">
            <v>14629397167.09252</v>
          </cell>
          <cell r="H97">
            <v>89379971</v>
          </cell>
          <cell r="I97">
            <v>100535030.486562</v>
          </cell>
        </row>
        <row r="98">
          <cell r="C98" t="str">
            <v>100,000-249,999</v>
          </cell>
          <cell r="D98">
            <v>9739</v>
          </cell>
          <cell r="E98">
            <v>14167.150952</v>
          </cell>
          <cell r="F98">
            <v>3810390.32806</v>
          </cell>
          <cell r="G98">
            <v>489272880862.35706</v>
          </cell>
          <cell r="H98">
            <v>1210531440</v>
          </cell>
          <cell r="I98">
            <v>1797460784.913457</v>
          </cell>
        </row>
        <row r="99">
          <cell r="C99" t="str">
            <v>1-9,999</v>
          </cell>
          <cell r="D99">
            <v>3702</v>
          </cell>
          <cell r="E99">
            <v>3743.320195</v>
          </cell>
          <cell r="F99">
            <v>219613.25998</v>
          </cell>
          <cell r="G99">
            <v>1166360709.98519</v>
          </cell>
          <cell r="H99">
            <v>20089244</v>
          </cell>
          <cell r="I99">
            <v>19975087.469746</v>
          </cell>
        </row>
        <row r="100">
          <cell r="C100" t="str">
            <v>2,500,000-4,999,999</v>
          </cell>
          <cell r="D100">
            <v>78</v>
          </cell>
          <cell r="E100">
            <v>121.959907</v>
          </cell>
          <cell r="F100">
            <v>48403.71882</v>
          </cell>
          <cell r="G100">
            <v>150501837832.35086</v>
          </cell>
          <cell r="H100">
            <v>247521413</v>
          </cell>
          <cell r="I100">
            <v>386800301.886167</v>
          </cell>
        </row>
        <row r="101">
          <cell r="C101" t="str">
            <v>25,000-49,999</v>
          </cell>
          <cell r="D101">
            <v>7587</v>
          </cell>
          <cell r="E101">
            <v>9328.837832</v>
          </cell>
          <cell r="F101">
            <v>1453246.95342</v>
          </cell>
          <cell r="G101">
            <v>41822590871.696686</v>
          </cell>
          <cell r="H101">
            <v>220704852</v>
          </cell>
          <cell r="I101">
            <v>273081855.265235</v>
          </cell>
        </row>
        <row r="102">
          <cell r="C102" t="str">
            <v>250,000-499,999</v>
          </cell>
          <cell r="D102">
            <v>2906</v>
          </cell>
          <cell r="E102">
            <v>4484.245924</v>
          </cell>
          <cell r="F102">
            <v>1861549.59943</v>
          </cell>
          <cell r="G102">
            <v>540597482620.2782</v>
          </cell>
          <cell r="H102">
            <v>844637458</v>
          </cell>
          <cell r="I102">
            <v>1319459604.629181</v>
          </cell>
        </row>
        <row r="103">
          <cell r="C103" t="str">
            <v>5,000,000+</v>
          </cell>
          <cell r="D103">
            <v>35</v>
          </cell>
          <cell r="E103">
            <v>61.472769</v>
          </cell>
          <cell r="F103">
            <v>21684.40375</v>
          </cell>
          <cell r="G103">
            <v>163126851055.2505</v>
          </cell>
          <cell r="H103">
            <v>288147869</v>
          </cell>
          <cell r="I103">
            <v>466303491.269269</v>
          </cell>
        </row>
        <row r="104">
          <cell r="C104" t="str">
            <v>50,000-99,999</v>
          </cell>
          <cell r="D104">
            <v>9591</v>
          </cell>
          <cell r="E104">
            <v>12628.549358</v>
          </cell>
          <cell r="F104">
            <v>2369355.44494</v>
          </cell>
          <cell r="G104">
            <v>133598476584.32614</v>
          </cell>
          <cell r="H104">
            <v>543560742</v>
          </cell>
          <cell r="I104">
            <v>721306565.685304</v>
          </cell>
        </row>
        <row r="105">
          <cell r="C105" t="str">
            <v>500,000-999,999</v>
          </cell>
          <cell r="D105">
            <v>1392</v>
          </cell>
          <cell r="E105">
            <v>2318.405056</v>
          </cell>
          <cell r="F105">
            <v>1113493.02616</v>
          </cell>
          <cell r="G105">
            <v>625250749323.6307</v>
          </cell>
          <cell r="H105">
            <v>790597100</v>
          </cell>
          <cell r="I105">
            <v>1316990434.080786</v>
          </cell>
        </row>
        <row r="106">
          <cell r="C106" t="str">
            <v>1,000,000-2,499,999</v>
          </cell>
          <cell r="D106">
            <v>78</v>
          </cell>
          <cell r="E106">
            <v>108.586209</v>
          </cell>
          <cell r="F106">
            <v>24749.58984</v>
          </cell>
          <cell r="G106">
            <v>29360604574.16175</v>
          </cell>
          <cell r="H106">
            <v>90872983</v>
          </cell>
          <cell r="I106">
            <v>134568106.493998</v>
          </cell>
        </row>
        <row r="107">
          <cell r="C107" t="str">
            <v>10,000-24,999</v>
          </cell>
          <cell r="D107">
            <v>4181</v>
          </cell>
          <cell r="E107">
            <v>4198.434041</v>
          </cell>
          <cell r="F107">
            <v>299207.4324</v>
          </cell>
          <cell r="G107">
            <v>3788678116.5164</v>
          </cell>
          <cell r="H107">
            <v>52688223</v>
          </cell>
          <cell r="I107">
            <v>54374596.669545</v>
          </cell>
        </row>
        <row r="108">
          <cell r="C108" t="str">
            <v>100,000-249,999</v>
          </cell>
          <cell r="D108">
            <v>2573</v>
          </cell>
          <cell r="E108">
            <v>3092.016139</v>
          </cell>
          <cell r="F108">
            <v>578677.68471</v>
          </cell>
          <cell r="G108">
            <v>70709434638.71222</v>
          </cell>
          <cell r="H108">
            <v>309903086</v>
          </cell>
          <cell r="I108">
            <v>377486094.679968</v>
          </cell>
        </row>
        <row r="109">
          <cell r="C109" t="str">
            <v>1-9,999</v>
          </cell>
          <cell r="D109">
            <v>2365</v>
          </cell>
          <cell r="E109">
            <v>2159.114512</v>
          </cell>
          <cell r="F109">
            <v>99860.76201</v>
          </cell>
          <cell r="G109">
            <v>523240371.82311</v>
          </cell>
          <cell r="H109">
            <v>12844819</v>
          </cell>
          <cell r="I109">
            <v>11622896.353459</v>
          </cell>
        </row>
        <row r="110">
          <cell r="C110" t="str">
            <v>2,500,000-4,999,999</v>
          </cell>
          <cell r="D110">
            <v>5</v>
          </cell>
          <cell r="E110">
            <v>11.187597</v>
          </cell>
          <cell r="F110">
            <v>1699.48305</v>
          </cell>
          <cell r="G110">
            <v>5303671306.93575</v>
          </cell>
          <cell r="H110">
            <v>18286003</v>
          </cell>
          <cell r="I110">
            <v>35855956.202604</v>
          </cell>
        </row>
        <row r="111">
          <cell r="C111" t="str">
            <v>25,000-49,999</v>
          </cell>
          <cell r="D111">
            <v>3383</v>
          </cell>
          <cell r="E111">
            <v>3689.627257</v>
          </cell>
          <cell r="F111">
            <v>371471.99525</v>
          </cell>
          <cell r="G111">
            <v>10599446987.77878</v>
          </cell>
          <cell r="H111">
            <v>97633974</v>
          </cell>
          <cell r="I111">
            <v>107202969.633641</v>
          </cell>
        </row>
        <row r="112">
          <cell r="C112" t="str">
            <v>250,000-499,999</v>
          </cell>
          <cell r="D112">
            <v>483</v>
          </cell>
          <cell r="E112">
            <v>616.972798</v>
          </cell>
          <cell r="F112">
            <v>157517.16903</v>
          </cell>
          <cell r="G112">
            <v>44783081968.42061</v>
          </cell>
          <cell r="H112">
            <v>140459073</v>
          </cell>
          <cell r="I112">
            <v>180119449.810332</v>
          </cell>
        </row>
        <row r="113">
          <cell r="C113" t="str">
            <v>5,000,000+</v>
          </cell>
          <cell r="D113">
            <v>6</v>
          </cell>
          <cell r="E113">
            <v>4.140537</v>
          </cell>
          <cell r="F113">
            <v>772.0979</v>
          </cell>
          <cell r="G113">
            <v>5539761948.55974</v>
          </cell>
          <cell r="H113">
            <v>50673318</v>
          </cell>
          <cell r="I113">
            <v>30678727.487196</v>
          </cell>
        </row>
        <row r="114">
          <cell r="C114" t="str">
            <v>50,000-99,999</v>
          </cell>
          <cell r="D114">
            <v>3552</v>
          </cell>
          <cell r="E114">
            <v>4060.033465</v>
          </cell>
          <cell r="F114">
            <v>507657.30881</v>
          </cell>
          <cell r="G114">
            <v>28217319712.79254</v>
          </cell>
          <cell r="H114">
            <v>199108167</v>
          </cell>
          <cell r="I114">
            <v>228411136.183612</v>
          </cell>
        </row>
        <row r="115">
          <cell r="C115" t="str">
            <v>500,000-999,999</v>
          </cell>
          <cell r="D115">
            <v>191</v>
          </cell>
          <cell r="E115">
            <v>246.441882</v>
          </cell>
          <cell r="F115">
            <v>60805.62656</v>
          </cell>
          <cell r="G115">
            <v>33705852360.36848</v>
          </cell>
          <cell r="H115">
            <v>108782074</v>
          </cell>
          <cell r="I115">
            <v>141829077.199172</v>
          </cell>
        </row>
        <row r="116">
          <cell r="C116" t="str">
            <v>1,000,000-2,499,999</v>
          </cell>
          <cell r="D116">
            <v>176</v>
          </cell>
          <cell r="E116">
            <v>316.465278</v>
          </cell>
          <cell r="F116">
            <v>147915.94951</v>
          </cell>
          <cell r="G116">
            <v>172497209664.09094</v>
          </cell>
          <cell r="H116">
            <v>216874838</v>
          </cell>
          <cell r="I116">
            <v>396114538.897309</v>
          </cell>
        </row>
        <row r="117">
          <cell r="C117" t="str">
            <v>10,000-24,999</v>
          </cell>
          <cell r="D117">
            <v>5798</v>
          </cell>
          <cell r="E117">
            <v>7386.303322</v>
          </cell>
          <cell r="F117">
            <v>1340156.75718</v>
          </cell>
          <cell r="G117">
            <v>17186309127.20158</v>
          </cell>
          <cell r="H117">
            <v>69018576</v>
          </cell>
          <cell r="I117">
            <v>88544318.560447</v>
          </cell>
        </row>
        <row r="118">
          <cell r="C118" t="str">
            <v>100,000-249,999</v>
          </cell>
          <cell r="D118">
            <v>3554</v>
          </cell>
          <cell r="E118">
            <v>5432.893308</v>
          </cell>
          <cell r="F118">
            <v>2929313.62061</v>
          </cell>
          <cell r="G118">
            <v>360854164205.4006</v>
          </cell>
          <cell r="H118">
            <v>434358867</v>
          </cell>
          <cell r="I118">
            <v>667622174.436079</v>
          </cell>
        </row>
        <row r="119">
          <cell r="C119" t="str">
            <v>1-9,999</v>
          </cell>
          <cell r="D119">
            <v>6385</v>
          </cell>
          <cell r="E119">
            <v>7004.568515</v>
          </cell>
          <cell r="F119">
            <v>428730.28438</v>
          </cell>
          <cell r="G119">
            <v>2267427566.96009</v>
          </cell>
          <cell r="H119">
            <v>33222723</v>
          </cell>
          <cell r="I119">
            <v>35920332.919534</v>
          </cell>
        </row>
        <row r="120">
          <cell r="C120" t="str">
            <v>2,500,000-4,999,999</v>
          </cell>
          <cell r="D120">
            <v>20</v>
          </cell>
          <cell r="E120">
            <v>35.964487</v>
          </cell>
          <cell r="F120">
            <v>8578.00598</v>
          </cell>
          <cell r="G120">
            <v>26818908144.03856</v>
          </cell>
          <cell r="H120">
            <v>59054524</v>
          </cell>
          <cell r="I120">
            <v>113650709.068894</v>
          </cell>
        </row>
        <row r="121">
          <cell r="C121" t="str">
            <v>25,000-49,999</v>
          </cell>
          <cell r="D121">
            <v>3902</v>
          </cell>
          <cell r="E121">
            <v>5329.790805</v>
          </cell>
          <cell r="F121">
            <v>1463465.96534</v>
          </cell>
          <cell r="G121">
            <v>40901243506.63252</v>
          </cell>
          <cell r="H121">
            <v>109437489</v>
          </cell>
          <cell r="I121">
            <v>150078096.433735</v>
          </cell>
        </row>
        <row r="122">
          <cell r="C122" t="str">
            <v>250,000-499,999</v>
          </cell>
          <cell r="D122">
            <v>874</v>
          </cell>
          <cell r="E122">
            <v>1402.038708</v>
          </cell>
          <cell r="F122">
            <v>1087251.86288</v>
          </cell>
          <cell r="G122">
            <v>305180417065.9112</v>
          </cell>
          <cell r="H122">
            <v>253081521</v>
          </cell>
          <cell r="I122">
            <v>407906277.007931</v>
          </cell>
        </row>
        <row r="123">
          <cell r="C123" t="str">
            <v>5,000,000+</v>
          </cell>
          <cell r="D123">
            <v>13</v>
          </cell>
          <cell r="E123">
            <v>22.82019</v>
          </cell>
          <cell r="F123">
            <v>5019.35315</v>
          </cell>
          <cell r="G123">
            <v>40651289751.5216</v>
          </cell>
          <cell r="H123">
            <v>158522800</v>
          </cell>
          <cell r="I123">
            <v>179975604.112392</v>
          </cell>
        </row>
        <row r="124">
          <cell r="C124" t="str">
            <v>50,000-99,999</v>
          </cell>
          <cell r="D124">
            <v>3937</v>
          </cell>
          <cell r="E124">
            <v>5907.713536</v>
          </cell>
          <cell r="F124">
            <v>2092642.49125</v>
          </cell>
          <cell r="G124">
            <v>114800987007.09514</v>
          </cell>
          <cell r="H124">
            <v>219705869</v>
          </cell>
          <cell r="I124">
            <v>329023821.100988</v>
          </cell>
        </row>
        <row r="125">
          <cell r="C125" t="str">
            <v>500,000-999,999</v>
          </cell>
          <cell r="D125">
            <v>370</v>
          </cell>
          <cell r="E125">
            <v>598.102655</v>
          </cell>
          <cell r="F125">
            <v>421159.13776</v>
          </cell>
          <cell r="G125">
            <v>228543603427.197</v>
          </cell>
          <cell r="H125">
            <v>207827201</v>
          </cell>
          <cell r="I125">
            <v>338949040.56414</v>
          </cell>
        </row>
        <row r="126">
          <cell r="C126" t="str">
            <v>1,000,000-2,499,999</v>
          </cell>
          <cell r="D126">
            <v>28</v>
          </cell>
          <cell r="E126">
            <v>34.343828</v>
          </cell>
          <cell r="F126">
            <v>5833.57298</v>
          </cell>
          <cell r="G126">
            <v>7018673779.69173</v>
          </cell>
          <cell r="H126">
            <v>31400000</v>
          </cell>
          <cell r="I126">
            <v>43257654.415545</v>
          </cell>
        </row>
        <row r="127">
          <cell r="C127" t="str">
            <v>10,000-24,999</v>
          </cell>
          <cell r="D127">
            <v>3470</v>
          </cell>
          <cell r="E127">
            <v>3656.217949</v>
          </cell>
          <cell r="F127">
            <v>335567.91994</v>
          </cell>
          <cell r="G127">
            <v>4044701868.28854</v>
          </cell>
          <cell r="H127">
            <v>40343335</v>
          </cell>
          <cell r="I127">
            <v>43348368.900814</v>
          </cell>
        </row>
        <row r="128">
          <cell r="C128" t="str">
            <v>100,000-249,999</v>
          </cell>
          <cell r="D128">
            <v>864</v>
          </cell>
          <cell r="E128">
            <v>1013.464243</v>
          </cell>
          <cell r="F128">
            <v>306944.50741</v>
          </cell>
          <cell r="G128">
            <v>36147602112.80749</v>
          </cell>
          <cell r="H128">
            <v>103446389</v>
          </cell>
          <cell r="I128">
            <v>122258748.114096</v>
          </cell>
        </row>
        <row r="129">
          <cell r="C129" t="str">
            <v>1-9,999</v>
          </cell>
          <cell r="D129">
            <v>4478</v>
          </cell>
          <cell r="E129">
            <v>4289.982702</v>
          </cell>
          <cell r="F129">
            <v>170434.92989</v>
          </cell>
          <cell r="G129">
            <v>802851905.70523</v>
          </cell>
          <cell r="H129">
            <v>20017188</v>
          </cell>
          <cell r="I129">
            <v>18651746.877764</v>
          </cell>
        </row>
        <row r="130">
          <cell r="C130" t="str">
            <v>2,500,000-4,999,999</v>
          </cell>
          <cell r="D130">
            <v>2</v>
          </cell>
          <cell r="E130">
            <v>4.570421</v>
          </cell>
          <cell r="F130">
            <v>532.509</v>
          </cell>
          <cell r="G130">
            <v>1667667020.31188</v>
          </cell>
          <cell r="H130">
            <v>5800000</v>
          </cell>
          <cell r="I130">
            <v>14287624.149306</v>
          </cell>
        </row>
        <row r="131">
          <cell r="C131" t="str">
            <v>25,000-49,999</v>
          </cell>
          <cell r="D131">
            <v>1660</v>
          </cell>
          <cell r="E131">
            <v>1864.220771</v>
          </cell>
          <cell r="F131">
            <v>303992.16907</v>
          </cell>
          <cell r="G131">
            <v>8455785359.27761</v>
          </cell>
          <cell r="H131">
            <v>46778323</v>
          </cell>
          <cell r="I131">
            <v>52883074.517058</v>
          </cell>
        </row>
        <row r="132">
          <cell r="C132" t="str">
            <v>250,000-499,999</v>
          </cell>
          <cell r="D132">
            <v>137</v>
          </cell>
          <cell r="E132">
            <v>168.074951</v>
          </cell>
          <cell r="F132">
            <v>57587.42534</v>
          </cell>
          <cell r="G132">
            <v>16042782894.65951</v>
          </cell>
          <cell r="H132">
            <v>39950966</v>
          </cell>
          <cell r="I132">
            <v>49239206.466232</v>
          </cell>
        </row>
        <row r="133">
          <cell r="C133" t="str">
            <v>5,000,000+</v>
          </cell>
          <cell r="D133">
            <v>3</v>
          </cell>
          <cell r="E133">
            <v>2.503249</v>
          </cell>
          <cell r="F133">
            <v>309.87034</v>
          </cell>
          <cell r="G133">
            <v>2437933754.24061</v>
          </cell>
          <cell r="H133">
            <v>20000000</v>
          </cell>
          <cell r="I133">
            <v>18252432.688866</v>
          </cell>
        </row>
        <row r="134">
          <cell r="C134" t="str">
            <v>50,000-99,999</v>
          </cell>
          <cell r="D134">
            <v>1335</v>
          </cell>
          <cell r="E134">
            <v>1641.335097</v>
          </cell>
          <cell r="F134">
            <v>346856.88547</v>
          </cell>
          <cell r="G134">
            <v>18924013377.921886</v>
          </cell>
          <cell r="H134">
            <v>73649022</v>
          </cell>
          <cell r="I134">
            <v>91550935.755445</v>
          </cell>
        </row>
        <row r="135">
          <cell r="C135" t="str">
            <v>500,000-999,999</v>
          </cell>
          <cell r="D135">
            <v>59</v>
          </cell>
          <cell r="E135">
            <v>63.259654</v>
          </cell>
          <cell r="F135">
            <v>16240.3526</v>
          </cell>
          <cell r="G135">
            <v>8919736847.07071</v>
          </cell>
          <cell r="H135">
            <v>35070022</v>
          </cell>
          <cell r="I135">
            <v>36810396.924869</v>
          </cell>
        </row>
        <row r="138">
          <cell r="C138" t="str">
            <v>1 - Best Rank</v>
          </cell>
          <cell r="D138">
            <v>1821</v>
          </cell>
          <cell r="E138">
            <v>3182.733875</v>
          </cell>
          <cell r="F138">
            <v>1551593.58293</v>
          </cell>
          <cell r="G138">
            <v>591650953440.7218</v>
          </cell>
          <cell r="H138">
            <v>533190980</v>
          </cell>
          <cell r="I138">
            <v>1047177476.263325</v>
          </cell>
        </row>
        <row r="139">
          <cell r="C139" t="str">
            <v>2 - Middle Rank</v>
          </cell>
          <cell r="D139">
            <v>979</v>
          </cell>
          <cell r="E139">
            <v>1417.681388</v>
          </cell>
          <cell r="F139">
            <v>845092.91072</v>
          </cell>
          <cell r="G139">
            <v>369580054988.27344</v>
          </cell>
          <cell r="H139">
            <v>321815769</v>
          </cell>
          <cell r="I139">
            <v>533827472.067528</v>
          </cell>
        </row>
        <row r="140">
          <cell r="C140" t="str">
            <v>3 - Residual Standard</v>
          </cell>
          <cell r="D140">
            <v>2050</v>
          </cell>
          <cell r="E140">
            <v>2465.122646</v>
          </cell>
          <cell r="F140">
            <v>1054772.60102</v>
          </cell>
          <cell r="G140">
            <v>348333525853.02783</v>
          </cell>
          <cell r="H140">
            <v>570755475</v>
          </cell>
          <cell r="I140">
            <v>704212224.788991</v>
          </cell>
        </row>
        <row r="141">
          <cell r="C141" t="str">
            <v>1 - Best Rank</v>
          </cell>
          <cell r="D141">
            <v>456</v>
          </cell>
          <cell r="E141">
            <v>582.913882</v>
          </cell>
          <cell r="F141">
            <v>175119.98848</v>
          </cell>
          <cell r="G141">
            <v>44809356898.53228</v>
          </cell>
          <cell r="H141">
            <v>101544345</v>
          </cell>
          <cell r="I141">
            <v>132348529.66263</v>
          </cell>
        </row>
        <row r="142">
          <cell r="C142" t="str">
            <v>3 - Residual Standard</v>
          </cell>
          <cell r="D142">
            <v>365</v>
          </cell>
          <cell r="E142">
            <v>335.985059</v>
          </cell>
          <cell r="F142">
            <v>101099.97659</v>
          </cell>
          <cell r="G142">
            <v>26269263731.92936</v>
          </cell>
          <cell r="H142">
            <v>81241600</v>
          </cell>
          <cell r="I142">
            <v>80239600.363786</v>
          </cell>
        </row>
        <row r="143">
          <cell r="C143" t="str">
            <v>1 - Best Rank</v>
          </cell>
          <cell r="D143">
            <v>843</v>
          </cell>
          <cell r="E143">
            <v>1508.422643</v>
          </cell>
          <cell r="F143">
            <v>1273761.46875</v>
          </cell>
          <cell r="G143">
            <v>341127380034.64594</v>
          </cell>
          <cell r="H143">
            <v>216014795</v>
          </cell>
          <cell r="I143">
            <v>406148851.763836</v>
          </cell>
        </row>
        <row r="144">
          <cell r="C144" t="str">
            <v>2 - Middle Rank</v>
          </cell>
          <cell r="D144">
            <v>292</v>
          </cell>
          <cell r="E144">
            <v>455.066909</v>
          </cell>
          <cell r="F144">
            <v>450311.828</v>
          </cell>
          <cell r="G144">
            <v>124769639531.51057</v>
          </cell>
          <cell r="H144">
            <v>68278322</v>
          </cell>
          <cell r="I144">
            <v>116175312.705404</v>
          </cell>
        </row>
        <row r="145">
          <cell r="C145" t="str">
            <v>3 - Residual Standard</v>
          </cell>
          <cell r="D145">
            <v>866</v>
          </cell>
          <cell r="E145">
            <v>1063.887092</v>
          </cell>
          <cell r="F145">
            <v>535214.02001</v>
          </cell>
          <cell r="G145">
            <v>119868359193.88263</v>
          </cell>
          <cell r="H145">
            <v>222518246</v>
          </cell>
          <cell r="I145">
            <v>273648930.155587</v>
          </cell>
        </row>
        <row r="146">
          <cell r="C146" t="str">
            <v>1 - Best Rank</v>
          </cell>
          <cell r="D146">
            <v>160</v>
          </cell>
          <cell r="E146">
            <v>184.463003</v>
          </cell>
          <cell r="F146">
            <v>81129.42647</v>
          </cell>
          <cell r="G146">
            <v>16025254537.21192</v>
          </cell>
          <cell r="H146">
            <v>30762104</v>
          </cell>
          <cell r="I146">
            <v>36072339.269759</v>
          </cell>
        </row>
        <row r="147">
          <cell r="C147" t="str">
            <v>3 - Residual Standard</v>
          </cell>
          <cell r="D147">
            <v>103</v>
          </cell>
          <cell r="E147">
            <v>116.366422</v>
          </cell>
          <cell r="F147">
            <v>40220.54066</v>
          </cell>
          <cell r="G147">
            <v>7509486494.62906</v>
          </cell>
          <cell r="H147">
            <v>25070418</v>
          </cell>
          <cell r="I147">
            <v>24184760.352567</v>
          </cell>
        </row>
      </sheetData>
      <sheetData sheetId="9">
        <row r="2">
          <cell r="B2" t="str">
            <v>1</v>
          </cell>
          <cell r="C2">
            <v>55</v>
          </cell>
          <cell r="D2">
            <v>150.503036</v>
          </cell>
          <cell r="E2">
            <v>28004513</v>
          </cell>
          <cell r="F2">
            <v>71917969.820326</v>
          </cell>
        </row>
        <row r="3">
          <cell r="B3" t="str">
            <v>11-15</v>
          </cell>
          <cell r="C3">
            <v>648</v>
          </cell>
          <cell r="D3">
            <v>1185.788342</v>
          </cell>
          <cell r="E3">
            <v>142115633</v>
          </cell>
          <cell r="F3">
            <v>277985621.268819</v>
          </cell>
        </row>
        <row r="4">
          <cell r="B4" t="str">
            <v>2</v>
          </cell>
          <cell r="C4">
            <v>132</v>
          </cell>
          <cell r="D4">
            <v>250.6691</v>
          </cell>
          <cell r="E4">
            <v>58002727</v>
          </cell>
          <cell r="F4">
            <v>110524592.26306</v>
          </cell>
        </row>
        <row r="5">
          <cell r="B5" t="str">
            <v>3</v>
          </cell>
          <cell r="C5">
            <v>220</v>
          </cell>
          <cell r="D5">
            <v>325.374139</v>
          </cell>
          <cell r="E5">
            <v>65941204</v>
          </cell>
          <cell r="F5">
            <v>125558399.020784</v>
          </cell>
        </row>
        <row r="6">
          <cell r="B6" t="str">
            <v>4-5</v>
          </cell>
          <cell r="C6">
            <v>450</v>
          </cell>
          <cell r="D6">
            <v>709.253206</v>
          </cell>
          <cell r="E6">
            <v>130792055</v>
          </cell>
          <cell r="F6">
            <v>238217787.735645</v>
          </cell>
        </row>
        <row r="7">
          <cell r="B7" t="str">
            <v>6-10</v>
          </cell>
          <cell r="C7">
            <v>1159</v>
          </cell>
          <cell r="D7">
            <v>2069.568695</v>
          </cell>
          <cell r="E7">
            <v>324349643</v>
          </cell>
          <cell r="F7">
            <v>629121957.918527</v>
          </cell>
        </row>
        <row r="8">
          <cell r="B8" t="str">
            <v>1</v>
          </cell>
          <cell r="C8">
            <v>133</v>
          </cell>
          <cell r="D8">
            <v>189.490411</v>
          </cell>
          <cell r="E8">
            <v>40273933</v>
          </cell>
          <cell r="F8">
            <v>75434104.000304</v>
          </cell>
        </row>
        <row r="9">
          <cell r="B9" t="str">
            <v>11-15</v>
          </cell>
          <cell r="C9">
            <v>2</v>
          </cell>
          <cell r="D9">
            <v>4.653454</v>
          </cell>
          <cell r="E9">
            <v>237119</v>
          </cell>
          <cell r="F9">
            <v>1334317.741492</v>
          </cell>
        </row>
        <row r="10">
          <cell r="B10" t="str">
            <v>2</v>
          </cell>
          <cell r="C10">
            <v>189</v>
          </cell>
          <cell r="D10">
            <v>272.13925</v>
          </cell>
          <cell r="E10">
            <v>65663181</v>
          </cell>
          <cell r="F10">
            <v>103345421.34393</v>
          </cell>
        </row>
        <row r="11">
          <cell r="B11" t="str">
            <v>3</v>
          </cell>
          <cell r="C11">
            <v>214</v>
          </cell>
          <cell r="D11">
            <v>295.385284</v>
          </cell>
          <cell r="E11">
            <v>61489368</v>
          </cell>
          <cell r="F11">
            <v>104948058.73353</v>
          </cell>
        </row>
        <row r="12">
          <cell r="B12" t="str">
            <v>4-5</v>
          </cell>
          <cell r="C12">
            <v>311</v>
          </cell>
          <cell r="D12">
            <v>419.6145</v>
          </cell>
          <cell r="E12">
            <v>95095682</v>
          </cell>
          <cell r="F12">
            <v>139539747.741932</v>
          </cell>
        </row>
        <row r="13">
          <cell r="B13" t="str">
            <v>6-10</v>
          </cell>
          <cell r="C13">
            <v>422</v>
          </cell>
          <cell r="D13">
            <v>691.465398</v>
          </cell>
          <cell r="E13">
            <v>127334808</v>
          </cell>
          <cell r="F13">
            <v>225401135.211744</v>
          </cell>
        </row>
        <row r="14">
          <cell r="B14" t="str">
            <v>1</v>
          </cell>
          <cell r="C14">
            <v>149</v>
          </cell>
          <cell r="D14">
            <v>188.419452</v>
          </cell>
          <cell r="E14">
            <v>51983091</v>
          </cell>
          <cell r="F14">
            <v>71907753.787624</v>
          </cell>
        </row>
        <row r="15">
          <cell r="B15" t="str">
            <v>11-15</v>
          </cell>
          <cell r="C15">
            <v>652</v>
          </cell>
          <cell r="D15">
            <v>947.072813</v>
          </cell>
          <cell r="E15">
            <v>152866685</v>
          </cell>
          <cell r="F15">
            <v>213996644.10872</v>
          </cell>
        </row>
        <row r="16">
          <cell r="B16" t="str">
            <v>2</v>
          </cell>
          <cell r="C16">
            <v>208</v>
          </cell>
          <cell r="D16">
            <v>246.567739</v>
          </cell>
          <cell r="E16">
            <v>69819742</v>
          </cell>
          <cell r="F16">
            <v>86966799.854738</v>
          </cell>
        </row>
        <row r="17">
          <cell r="B17" t="str">
            <v>3</v>
          </cell>
          <cell r="C17">
            <v>287</v>
          </cell>
          <cell r="D17">
            <v>285.710713</v>
          </cell>
          <cell r="E17">
            <v>89161879</v>
          </cell>
          <cell r="F17">
            <v>90074330.593341</v>
          </cell>
        </row>
        <row r="18">
          <cell r="B18" t="str">
            <v>4-5</v>
          </cell>
          <cell r="C18">
            <v>574</v>
          </cell>
          <cell r="D18">
            <v>597.791814</v>
          </cell>
          <cell r="E18">
            <v>162903079</v>
          </cell>
          <cell r="F18">
            <v>179149763.792441</v>
          </cell>
        </row>
        <row r="19">
          <cell r="B19" t="str">
            <v>6-10</v>
          </cell>
          <cell r="C19">
            <v>1046</v>
          </cell>
          <cell r="D19">
            <v>1263.447207</v>
          </cell>
          <cell r="E19">
            <v>266539245</v>
          </cell>
          <cell r="F19">
            <v>335765862.807714</v>
          </cell>
        </row>
        <row r="22">
          <cell r="B22" t="str">
            <v>1</v>
          </cell>
          <cell r="C22">
            <v>41</v>
          </cell>
          <cell r="D22">
            <v>51.633611</v>
          </cell>
          <cell r="E22">
            <v>10100000</v>
          </cell>
          <cell r="F22">
            <v>14152565.472723</v>
          </cell>
        </row>
        <row r="23">
          <cell r="B23" t="str">
            <v>11-15</v>
          </cell>
          <cell r="C23">
            <v>136</v>
          </cell>
          <cell r="D23">
            <v>180.870451</v>
          </cell>
          <cell r="E23">
            <v>18827763</v>
          </cell>
          <cell r="F23">
            <v>28541377.251334</v>
          </cell>
        </row>
        <row r="24">
          <cell r="B24" t="str">
            <v>2</v>
          </cell>
          <cell r="C24">
            <v>65</v>
          </cell>
          <cell r="D24">
            <v>59.672354</v>
          </cell>
          <cell r="E24">
            <v>15968000</v>
          </cell>
          <cell r="F24">
            <v>15596925.937775</v>
          </cell>
        </row>
        <row r="25">
          <cell r="B25" t="str">
            <v>3</v>
          </cell>
          <cell r="C25">
            <v>64</v>
          </cell>
          <cell r="D25">
            <v>70.758531</v>
          </cell>
          <cell r="E25">
            <v>14838000</v>
          </cell>
          <cell r="F25">
            <v>18107101.756372</v>
          </cell>
        </row>
        <row r="26">
          <cell r="B26" t="str">
            <v>4-5</v>
          </cell>
          <cell r="C26">
            <v>99</v>
          </cell>
          <cell r="D26">
            <v>121.913786</v>
          </cell>
          <cell r="E26">
            <v>24946663</v>
          </cell>
          <cell r="F26">
            <v>30318075.224032</v>
          </cell>
        </row>
        <row r="27">
          <cell r="B27" t="str">
            <v>6-10</v>
          </cell>
          <cell r="C27">
            <v>211</v>
          </cell>
          <cell r="D27">
            <v>282.528152</v>
          </cell>
          <cell r="E27">
            <v>47626023</v>
          </cell>
          <cell r="F27">
            <v>61704823.290153</v>
          </cell>
        </row>
        <row r="28">
          <cell r="B28" t="str">
            <v>1</v>
          </cell>
          <cell r="C28">
            <v>33</v>
          </cell>
          <cell r="D28">
            <v>33.816507</v>
          </cell>
          <cell r="E28">
            <v>7558774</v>
          </cell>
          <cell r="F28">
            <v>8792031.613678</v>
          </cell>
        </row>
        <row r="29">
          <cell r="B29" t="str">
            <v>11-15</v>
          </cell>
          <cell r="C29">
            <v>68</v>
          </cell>
          <cell r="D29">
            <v>71.25209</v>
          </cell>
          <cell r="E29">
            <v>15565925</v>
          </cell>
          <cell r="F29">
            <v>14791472.15786</v>
          </cell>
        </row>
        <row r="30">
          <cell r="B30" t="str">
            <v>2</v>
          </cell>
          <cell r="C30">
            <v>48</v>
          </cell>
          <cell r="D30">
            <v>44.639182</v>
          </cell>
          <cell r="E30">
            <v>8787864</v>
          </cell>
          <cell r="F30">
            <v>10952750.560307</v>
          </cell>
        </row>
        <row r="31">
          <cell r="B31" t="str">
            <v>3</v>
          </cell>
          <cell r="C31">
            <v>56</v>
          </cell>
          <cell r="D31">
            <v>49.144659</v>
          </cell>
          <cell r="E31">
            <v>10266670</v>
          </cell>
          <cell r="F31">
            <v>11856093.624213</v>
          </cell>
        </row>
        <row r="32">
          <cell r="B32" t="str">
            <v>4-5</v>
          </cell>
          <cell r="C32">
            <v>95</v>
          </cell>
          <cell r="D32">
            <v>85.947263</v>
          </cell>
          <cell r="E32">
            <v>24017533</v>
          </cell>
          <cell r="F32">
            <v>20518430.949264</v>
          </cell>
        </row>
        <row r="33">
          <cell r="B33" t="str">
            <v>6-10</v>
          </cell>
          <cell r="C33">
            <v>168</v>
          </cell>
          <cell r="D33">
            <v>167.55178</v>
          </cell>
          <cell r="E33">
            <v>40115252</v>
          </cell>
          <cell r="F33">
            <v>37513581.811031</v>
          </cell>
        </row>
        <row r="36">
          <cell r="C36" t="str">
            <v>1</v>
          </cell>
          <cell r="D36">
            <v>13</v>
          </cell>
          <cell r="E36">
            <v>40.614487</v>
          </cell>
          <cell r="F36">
            <v>1767500</v>
          </cell>
          <cell r="G36">
            <v>5343703.413199</v>
          </cell>
        </row>
        <row r="37">
          <cell r="C37" t="str">
            <v>11-15</v>
          </cell>
          <cell r="D37">
            <v>466</v>
          </cell>
          <cell r="E37">
            <v>803.630446</v>
          </cell>
          <cell r="F37">
            <v>54776764</v>
          </cell>
          <cell r="G37">
            <v>95905957.259591</v>
          </cell>
        </row>
        <row r="38">
          <cell r="C38" t="str">
            <v>2</v>
          </cell>
          <cell r="D38">
            <v>37</v>
          </cell>
          <cell r="E38">
            <v>80.749542</v>
          </cell>
          <cell r="F38">
            <v>4799330</v>
          </cell>
          <cell r="G38">
            <v>10484693.956535</v>
          </cell>
        </row>
        <row r="39">
          <cell r="C39" t="str">
            <v>3</v>
          </cell>
          <cell r="D39">
            <v>116</v>
          </cell>
          <cell r="E39">
            <v>133.462116</v>
          </cell>
          <cell r="F39">
            <v>14118067</v>
          </cell>
          <cell r="G39">
            <v>17579206.044328</v>
          </cell>
        </row>
        <row r="40">
          <cell r="C40" t="str">
            <v>4-5</v>
          </cell>
          <cell r="D40">
            <v>258</v>
          </cell>
          <cell r="E40">
            <v>343.445658</v>
          </cell>
          <cell r="F40">
            <v>32930727</v>
          </cell>
          <cell r="G40">
            <v>44582120.193725</v>
          </cell>
        </row>
        <row r="41">
          <cell r="C41" t="str">
            <v>6-10</v>
          </cell>
          <cell r="D41">
            <v>677</v>
          </cell>
          <cell r="E41">
            <v>1095.847689</v>
          </cell>
          <cell r="F41">
            <v>85275841</v>
          </cell>
          <cell r="G41">
            <v>139312714.23462</v>
          </cell>
        </row>
        <row r="42">
          <cell r="C42" t="str">
            <v>1</v>
          </cell>
          <cell r="D42">
            <v>64</v>
          </cell>
          <cell r="E42">
            <v>71.812779</v>
          </cell>
          <cell r="F42">
            <v>8050000</v>
          </cell>
          <cell r="G42">
            <v>9167102.865585</v>
          </cell>
        </row>
        <row r="43">
          <cell r="C43" t="str">
            <v>11-15</v>
          </cell>
          <cell r="D43">
            <v>2</v>
          </cell>
          <cell r="E43">
            <v>2.737345</v>
          </cell>
          <cell r="F43">
            <v>237119</v>
          </cell>
          <cell r="G43">
            <v>357683.868833</v>
          </cell>
        </row>
        <row r="44">
          <cell r="C44" t="str">
            <v>2</v>
          </cell>
          <cell r="D44">
            <v>83</v>
          </cell>
          <cell r="E44">
            <v>111.222131</v>
          </cell>
          <cell r="F44">
            <v>10578860</v>
          </cell>
          <cell r="G44">
            <v>14067296.495041</v>
          </cell>
        </row>
        <row r="45">
          <cell r="C45" t="str">
            <v>3</v>
          </cell>
          <cell r="D45">
            <v>108</v>
          </cell>
          <cell r="E45">
            <v>132.847624</v>
          </cell>
          <cell r="F45">
            <v>13639278</v>
          </cell>
          <cell r="G45">
            <v>16888935.033777</v>
          </cell>
        </row>
        <row r="46">
          <cell r="C46" t="str">
            <v>4-5</v>
          </cell>
          <cell r="D46">
            <v>156</v>
          </cell>
          <cell r="E46">
            <v>205.619972</v>
          </cell>
          <cell r="F46">
            <v>19467682</v>
          </cell>
          <cell r="G46">
            <v>26034008.862248</v>
          </cell>
        </row>
        <row r="47">
          <cell r="C47" t="str">
            <v>6-10</v>
          </cell>
          <cell r="D47">
            <v>229</v>
          </cell>
          <cell r="E47">
            <v>352.128311</v>
          </cell>
          <cell r="F47">
            <v>28725992</v>
          </cell>
          <cell r="G47">
            <v>45359235.047249</v>
          </cell>
        </row>
        <row r="48">
          <cell r="C48" t="str">
            <v>1</v>
          </cell>
          <cell r="D48">
            <v>60</v>
          </cell>
          <cell r="E48">
            <v>78.341987</v>
          </cell>
          <cell r="F48">
            <v>8003778</v>
          </cell>
          <cell r="G48">
            <v>10279783.608001</v>
          </cell>
        </row>
        <row r="49">
          <cell r="C49" t="str">
            <v>11-15</v>
          </cell>
          <cell r="D49">
            <v>465</v>
          </cell>
          <cell r="E49">
            <v>682.439743</v>
          </cell>
          <cell r="F49">
            <v>55351428</v>
          </cell>
          <cell r="G49">
            <v>83450031.92988</v>
          </cell>
        </row>
        <row r="50">
          <cell r="C50" t="str">
            <v>2</v>
          </cell>
          <cell r="D50">
            <v>94</v>
          </cell>
          <cell r="E50">
            <v>116.47486</v>
          </cell>
          <cell r="F50">
            <v>12175365</v>
          </cell>
          <cell r="G50">
            <v>15064822.164558</v>
          </cell>
        </row>
        <row r="51">
          <cell r="C51" t="str">
            <v>3</v>
          </cell>
          <cell r="D51">
            <v>160</v>
          </cell>
          <cell r="E51">
            <v>154.4754</v>
          </cell>
          <cell r="F51">
            <v>19793976</v>
          </cell>
          <cell r="G51">
            <v>19822779.543509</v>
          </cell>
        </row>
        <row r="52">
          <cell r="C52" t="str">
            <v>4-5</v>
          </cell>
          <cell r="D52">
            <v>339</v>
          </cell>
          <cell r="E52">
            <v>332.017038</v>
          </cell>
          <cell r="F52">
            <v>42641815</v>
          </cell>
          <cell r="G52">
            <v>42511820.174684</v>
          </cell>
        </row>
        <row r="53">
          <cell r="C53" t="str">
            <v>6-10</v>
          </cell>
          <cell r="D53">
            <v>671</v>
          </cell>
          <cell r="E53">
            <v>780.393003</v>
          </cell>
          <cell r="F53">
            <v>84233377</v>
          </cell>
          <cell r="G53">
            <v>99280952.030291</v>
          </cell>
        </row>
        <row r="54">
          <cell r="C54" t="str">
            <v>1</v>
          </cell>
          <cell r="D54">
            <v>18</v>
          </cell>
          <cell r="E54">
            <v>48.036965</v>
          </cell>
          <cell r="F54">
            <v>5025000</v>
          </cell>
          <cell r="G54">
            <v>13721335.807603</v>
          </cell>
        </row>
        <row r="55">
          <cell r="C55" t="str">
            <v>11-15</v>
          </cell>
          <cell r="D55">
            <v>108</v>
          </cell>
          <cell r="E55">
            <v>238.665955</v>
          </cell>
          <cell r="F55">
            <v>30911016</v>
          </cell>
          <cell r="G55">
            <v>67744118.303111</v>
          </cell>
        </row>
        <row r="56">
          <cell r="C56" t="str">
            <v>2</v>
          </cell>
          <cell r="D56">
            <v>46</v>
          </cell>
          <cell r="E56">
            <v>76.523427</v>
          </cell>
          <cell r="F56">
            <v>13390381</v>
          </cell>
          <cell r="G56">
            <v>21907229.408642</v>
          </cell>
        </row>
        <row r="57">
          <cell r="C57" t="str">
            <v>3</v>
          </cell>
          <cell r="D57">
            <v>49</v>
          </cell>
          <cell r="E57">
            <v>93.119822</v>
          </cell>
          <cell r="F57">
            <v>13523137</v>
          </cell>
          <cell r="G57">
            <v>26774181.842648</v>
          </cell>
        </row>
        <row r="58">
          <cell r="C58" t="str">
            <v>4-5</v>
          </cell>
          <cell r="D58">
            <v>100</v>
          </cell>
          <cell r="E58">
            <v>196.152225</v>
          </cell>
          <cell r="F58">
            <v>29423226</v>
          </cell>
          <cell r="G58">
            <v>56733319.106539</v>
          </cell>
        </row>
        <row r="59">
          <cell r="C59" t="str">
            <v>6-10</v>
          </cell>
          <cell r="D59">
            <v>287</v>
          </cell>
          <cell r="E59">
            <v>554.023615</v>
          </cell>
          <cell r="F59">
            <v>81282264</v>
          </cell>
          <cell r="G59">
            <v>157665872.022772</v>
          </cell>
        </row>
        <row r="60">
          <cell r="C60" t="str">
            <v>1</v>
          </cell>
          <cell r="D60">
            <v>38</v>
          </cell>
          <cell r="E60">
            <v>58.601131</v>
          </cell>
          <cell r="F60">
            <v>11073933</v>
          </cell>
          <cell r="G60">
            <v>16731853.781458</v>
          </cell>
        </row>
        <row r="61">
          <cell r="C61" t="str">
            <v>11-15</v>
          </cell>
          <cell r="D61">
            <v>0</v>
          </cell>
          <cell r="E61">
            <v>1.222712</v>
          </cell>
          <cell r="F61">
            <v>0</v>
          </cell>
          <cell r="G61">
            <v>375224.552644</v>
          </cell>
        </row>
        <row r="62">
          <cell r="C62" t="str">
            <v>2</v>
          </cell>
          <cell r="D62">
            <v>57</v>
          </cell>
          <cell r="E62">
            <v>80.544307</v>
          </cell>
          <cell r="F62">
            <v>16068937</v>
          </cell>
          <cell r="G62">
            <v>23003971.238339</v>
          </cell>
        </row>
        <row r="63">
          <cell r="C63" t="str">
            <v>3</v>
          </cell>
          <cell r="D63">
            <v>67</v>
          </cell>
          <cell r="E63">
            <v>83.557184</v>
          </cell>
          <cell r="F63">
            <v>19030090</v>
          </cell>
          <cell r="G63">
            <v>23808346.377831</v>
          </cell>
        </row>
        <row r="64">
          <cell r="C64" t="str">
            <v>4-5</v>
          </cell>
          <cell r="D64">
            <v>86</v>
          </cell>
          <cell r="E64">
            <v>111.942479</v>
          </cell>
          <cell r="F64">
            <v>23918000</v>
          </cell>
          <cell r="G64">
            <v>31836722.156384</v>
          </cell>
        </row>
        <row r="65">
          <cell r="C65" t="str">
            <v>6-10</v>
          </cell>
          <cell r="D65">
            <v>96</v>
          </cell>
          <cell r="E65">
            <v>174.420678</v>
          </cell>
          <cell r="F65">
            <v>26661000</v>
          </cell>
          <cell r="G65">
            <v>49638722.052177</v>
          </cell>
        </row>
        <row r="66">
          <cell r="C66" t="str">
            <v>1</v>
          </cell>
          <cell r="D66">
            <v>57</v>
          </cell>
          <cell r="E66">
            <v>57.058125</v>
          </cell>
          <cell r="F66">
            <v>16179313</v>
          </cell>
          <cell r="G66">
            <v>16623610.93375</v>
          </cell>
        </row>
        <row r="67">
          <cell r="C67" t="str">
            <v>11-15</v>
          </cell>
          <cell r="D67">
            <v>103</v>
          </cell>
          <cell r="E67">
            <v>160.093233</v>
          </cell>
          <cell r="F67">
            <v>29443156</v>
          </cell>
          <cell r="G67">
            <v>46546968.057501</v>
          </cell>
        </row>
        <row r="68">
          <cell r="C68" t="str">
            <v>2</v>
          </cell>
          <cell r="D68">
            <v>60</v>
          </cell>
          <cell r="E68">
            <v>68.186527</v>
          </cell>
          <cell r="F68">
            <v>17141150</v>
          </cell>
          <cell r="G68">
            <v>19773343.172523</v>
          </cell>
        </row>
        <row r="69">
          <cell r="C69" t="str">
            <v>3</v>
          </cell>
          <cell r="D69">
            <v>61</v>
          </cell>
          <cell r="E69">
            <v>72.057041</v>
          </cell>
          <cell r="F69">
            <v>18416077</v>
          </cell>
          <cell r="G69">
            <v>20992678.454017</v>
          </cell>
        </row>
        <row r="70">
          <cell r="C70" t="str">
            <v>4-5</v>
          </cell>
          <cell r="D70">
            <v>135</v>
          </cell>
          <cell r="E70">
            <v>151.323453</v>
          </cell>
          <cell r="F70">
            <v>39406654</v>
          </cell>
          <cell r="G70">
            <v>44381407.930854</v>
          </cell>
        </row>
        <row r="71">
          <cell r="C71" t="str">
            <v>6-10</v>
          </cell>
          <cell r="D71">
            <v>240</v>
          </cell>
          <cell r="E71">
            <v>289.823234</v>
          </cell>
          <cell r="F71">
            <v>69624754</v>
          </cell>
          <cell r="G71">
            <v>84028781.183132</v>
          </cell>
        </row>
        <row r="72">
          <cell r="C72" t="str">
            <v>1</v>
          </cell>
          <cell r="D72">
            <v>13</v>
          </cell>
          <cell r="E72">
            <v>35.268375</v>
          </cell>
          <cell r="F72">
            <v>7712013</v>
          </cell>
          <cell r="G72">
            <v>19591547.061832</v>
          </cell>
        </row>
        <row r="73">
          <cell r="C73" t="str">
            <v>11-15</v>
          </cell>
          <cell r="D73">
            <v>50</v>
          </cell>
          <cell r="E73">
            <v>91.868854</v>
          </cell>
          <cell r="F73">
            <v>28111223</v>
          </cell>
          <cell r="G73">
            <v>51442661.230196</v>
          </cell>
        </row>
        <row r="74">
          <cell r="C74" t="str">
            <v>2</v>
          </cell>
          <cell r="D74">
            <v>32</v>
          </cell>
          <cell r="E74">
            <v>54.801489</v>
          </cell>
          <cell r="F74">
            <v>18664682</v>
          </cell>
          <cell r="G74">
            <v>30440607.251067</v>
          </cell>
        </row>
        <row r="75">
          <cell r="C75" t="str">
            <v>3</v>
          </cell>
          <cell r="D75">
            <v>40</v>
          </cell>
          <cell r="E75">
            <v>59.724588</v>
          </cell>
          <cell r="F75">
            <v>22050000</v>
          </cell>
          <cell r="G75">
            <v>32970194.840319</v>
          </cell>
        </row>
        <row r="76">
          <cell r="C76" t="str">
            <v>4-5</v>
          </cell>
          <cell r="D76">
            <v>66</v>
          </cell>
          <cell r="E76">
            <v>106.326706</v>
          </cell>
          <cell r="F76">
            <v>36708496</v>
          </cell>
          <cell r="G76">
            <v>59282869.947923</v>
          </cell>
        </row>
        <row r="77">
          <cell r="C77" t="str">
            <v>6-10</v>
          </cell>
          <cell r="D77">
            <v>121</v>
          </cell>
          <cell r="E77">
            <v>270.60348</v>
          </cell>
          <cell r="F77">
            <v>68090538</v>
          </cell>
          <cell r="G77">
            <v>150361262.658869</v>
          </cell>
        </row>
        <row r="78">
          <cell r="C78" t="str">
            <v>1</v>
          </cell>
          <cell r="D78">
            <v>23</v>
          </cell>
          <cell r="E78">
            <v>34.440365</v>
          </cell>
          <cell r="F78">
            <v>12150000</v>
          </cell>
          <cell r="G78">
            <v>19045706.860034</v>
          </cell>
        </row>
        <row r="79">
          <cell r="C79" t="str">
            <v>11-15</v>
          </cell>
          <cell r="D79">
            <v>0</v>
          </cell>
          <cell r="E79">
            <v>0.400754</v>
          </cell>
          <cell r="F79">
            <v>0</v>
          </cell>
          <cell r="G79">
            <v>234088.512682</v>
          </cell>
        </row>
        <row r="80">
          <cell r="C80" t="str">
            <v>2</v>
          </cell>
          <cell r="D80">
            <v>28</v>
          </cell>
          <cell r="E80">
            <v>48.106314</v>
          </cell>
          <cell r="F80">
            <v>15515384</v>
          </cell>
          <cell r="G80">
            <v>26506456.280782</v>
          </cell>
        </row>
        <row r="81">
          <cell r="C81" t="str">
            <v>3</v>
          </cell>
          <cell r="D81">
            <v>26</v>
          </cell>
          <cell r="E81">
            <v>47.884825</v>
          </cell>
          <cell r="F81">
            <v>14320000</v>
          </cell>
          <cell r="G81">
            <v>26360561.839284</v>
          </cell>
        </row>
        <row r="82">
          <cell r="C82" t="str">
            <v>4-5</v>
          </cell>
          <cell r="D82">
            <v>47</v>
          </cell>
          <cell r="E82">
            <v>63.294865</v>
          </cell>
          <cell r="F82">
            <v>25710000</v>
          </cell>
          <cell r="G82">
            <v>34709726.266849</v>
          </cell>
        </row>
        <row r="83">
          <cell r="C83" t="str">
            <v>6-10</v>
          </cell>
          <cell r="D83">
            <v>62</v>
          </cell>
          <cell r="E83">
            <v>104.048966</v>
          </cell>
          <cell r="F83">
            <v>32797816</v>
          </cell>
          <cell r="G83">
            <v>57045024.681544</v>
          </cell>
        </row>
        <row r="84">
          <cell r="C84" t="str">
            <v>1</v>
          </cell>
          <cell r="D84">
            <v>20</v>
          </cell>
          <cell r="E84">
            <v>31.13192</v>
          </cell>
          <cell r="F84">
            <v>11800000</v>
          </cell>
          <cell r="G84">
            <v>17736046.712414</v>
          </cell>
        </row>
        <row r="85">
          <cell r="C85" t="str">
            <v>11-15</v>
          </cell>
          <cell r="D85">
            <v>50</v>
          </cell>
          <cell r="E85">
            <v>67.538635</v>
          </cell>
          <cell r="F85">
            <v>27706755</v>
          </cell>
          <cell r="G85">
            <v>38201475.811057</v>
          </cell>
        </row>
        <row r="86">
          <cell r="C86" t="str">
            <v>2</v>
          </cell>
          <cell r="D86">
            <v>39</v>
          </cell>
          <cell r="E86">
            <v>37.248622</v>
          </cell>
          <cell r="F86">
            <v>22203227</v>
          </cell>
          <cell r="G86">
            <v>21067653.030493</v>
          </cell>
        </row>
        <row r="87">
          <cell r="C87" t="str">
            <v>3</v>
          </cell>
          <cell r="D87">
            <v>46</v>
          </cell>
          <cell r="E87">
            <v>36.388657</v>
          </cell>
          <cell r="F87">
            <v>25730000</v>
          </cell>
          <cell r="G87">
            <v>20550414.139557</v>
          </cell>
        </row>
        <row r="88">
          <cell r="C88" t="str">
            <v>4-5</v>
          </cell>
          <cell r="D88">
            <v>66</v>
          </cell>
          <cell r="E88">
            <v>73.213528</v>
          </cell>
          <cell r="F88">
            <v>38168404</v>
          </cell>
          <cell r="G88">
            <v>41343181.873027</v>
          </cell>
        </row>
        <row r="89">
          <cell r="C89" t="str">
            <v>6-10</v>
          </cell>
          <cell r="D89">
            <v>80</v>
          </cell>
          <cell r="E89">
            <v>126.908459</v>
          </cell>
          <cell r="F89">
            <v>47337427</v>
          </cell>
          <cell r="G89">
            <v>71652987.60294</v>
          </cell>
        </row>
        <row r="90">
          <cell r="C90" t="str">
            <v>1</v>
          </cell>
          <cell r="D90">
            <v>11</v>
          </cell>
          <cell r="E90">
            <v>26.583209</v>
          </cell>
          <cell r="F90">
            <v>13500000</v>
          </cell>
          <cell r="G90">
            <v>33261383.537692</v>
          </cell>
        </row>
        <row r="91">
          <cell r="C91" t="str">
            <v>11-15</v>
          </cell>
          <cell r="D91">
            <v>24</v>
          </cell>
          <cell r="E91">
            <v>51.623087</v>
          </cell>
          <cell r="F91">
            <v>28316630</v>
          </cell>
          <cell r="G91">
            <v>62892884.475921</v>
          </cell>
        </row>
        <row r="92">
          <cell r="C92" t="str">
            <v>2</v>
          </cell>
          <cell r="D92">
            <v>17</v>
          </cell>
          <cell r="E92">
            <v>38.594642</v>
          </cell>
          <cell r="F92">
            <v>21148334</v>
          </cell>
          <cell r="G92">
            <v>47692061.646816</v>
          </cell>
        </row>
        <row r="93">
          <cell r="C93" t="str">
            <v>3</v>
          </cell>
          <cell r="D93">
            <v>15</v>
          </cell>
          <cell r="E93">
            <v>39.067613</v>
          </cell>
          <cell r="F93">
            <v>16250000</v>
          </cell>
          <cell r="G93">
            <v>48234816.293489</v>
          </cell>
        </row>
        <row r="94">
          <cell r="C94" t="str">
            <v>4-5</v>
          </cell>
          <cell r="D94">
            <v>26</v>
          </cell>
          <cell r="E94">
            <v>63.328617</v>
          </cell>
          <cell r="F94">
            <v>31729606</v>
          </cell>
          <cell r="G94">
            <v>77619478.487458</v>
          </cell>
        </row>
        <row r="95">
          <cell r="C95" t="str">
            <v>6-10</v>
          </cell>
          <cell r="D95">
            <v>74</v>
          </cell>
          <cell r="E95">
            <v>149.093911</v>
          </cell>
          <cell r="F95">
            <v>89701000</v>
          </cell>
          <cell r="G95">
            <v>181782109.002266</v>
          </cell>
        </row>
        <row r="96">
          <cell r="C96" t="str">
            <v>1</v>
          </cell>
          <cell r="D96">
            <v>8</v>
          </cell>
          <cell r="E96">
            <v>24.636136</v>
          </cell>
          <cell r="F96">
            <v>9000000</v>
          </cell>
          <cell r="G96">
            <v>30489440.493227</v>
          </cell>
        </row>
        <row r="97">
          <cell r="C97" t="str">
            <v>11-15</v>
          </cell>
          <cell r="D97">
            <v>0</v>
          </cell>
          <cell r="E97">
            <v>0.292643</v>
          </cell>
          <cell r="F97">
            <v>0</v>
          </cell>
          <cell r="G97">
            <v>367320.807333</v>
          </cell>
        </row>
        <row r="98">
          <cell r="C98" t="str">
            <v>2</v>
          </cell>
          <cell r="D98">
            <v>21</v>
          </cell>
          <cell r="E98">
            <v>32.266498</v>
          </cell>
          <cell r="F98">
            <v>23500000</v>
          </cell>
          <cell r="G98">
            <v>39767697.329768</v>
          </cell>
        </row>
        <row r="99">
          <cell r="C99" t="str">
            <v>3</v>
          </cell>
          <cell r="D99">
            <v>13</v>
          </cell>
          <cell r="E99">
            <v>31.095651</v>
          </cell>
          <cell r="F99">
            <v>14500000</v>
          </cell>
          <cell r="G99">
            <v>37890215.482638</v>
          </cell>
        </row>
        <row r="100">
          <cell r="C100" t="str">
            <v>4-5</v>
          </cell>
          <cell r="D100">
            <v>22</v>
          </cell>
          <cell r="E100">
            <v>38.757184</v>
          </cell>
          <cell r="F100">
            <v>26000000</v>
          </cell>
          <cell r="G100">
            <v>46959290.456451</v>
          </cell>
        </row>
        <row r="101">
          <cell r="C101" t="str">
            <v>6-10</v>
          </cell>
          <cell r="D101">
            <v>35</v>
          </cell>
          <cell r="E101">
            <v>60.867443</v>
          </cell>
          <cell r="F101">
            <v>39150000</v>
          </cell>
          <cell r="G101">
            <v>73358153.430774</v>
          </cell>
        </row>
        <row r="102">
          <cell r="C102" t="str">
            <v>1</v>
          </cell>
          <cell r="D102">
            <v>12</v>
          </cell>
          <cell r="E102">
            <v>21.88742</v>
          </cell>
          <cell r="F102">
            <v>16000000</v>
          </cell>
          <cell r="G102">
            <v>27268312.533459</v>
          </cell>
        </row>
        <row r="103">
          <cell r="C103" t="str">
            <v>11-15</v>
          </cell>
          <cell r="D103">
            <v>34</v>
          </cell>
          <cell r="E103">
            <v>37.001202</v>
          </cell>
          <cell r="F103">
            <v>40365346</v>
          </cell>
          <cell r="G103">
            <v>45798168.310282</v>
          </cell>
        </row>
        <row r="104">
          <cell r="C104" t="str">
            <v>2</v>
          </cell>
          <cell r="D104">
            <v>15</v>
          </cell>
          <cell r="E104">
            <v>24.65773</v>
          </cell>
          <cell r="F104">
            <v>18300000</v>
          </cell>
          <cell r="G104">
            <v>31060981.487164</v>
          </cell>
        </row>
        <row r="105">
          <cell r="C105" t="str">
            <v>3</v>
          </cell>
          <cell r="D105">
            <v>20</v>
          </cell>
          <cell r="E105">
            <v>22.789615</v>
          </cell>
          <cell r="F105">
            <v>25221826</v>
          </cell>
          <cell r="G105">
            <v>28708458.456258</v>
          </cell>
        </row>
        <row r="106">
          <cell r="C106" t="str">
            <v>4-5</v>
          </cell>
          <cell r="D106">
            <v>34</v>
          </cell>
          <cell r="E106">
            <v>41.237795</v>
          </cell>
          <cell r="F106">
            <v>42686206</v>
          </cell>
          <cell r="G106">
            <v>50913353.813876</v>
          </cell>
        </row>
        <row r="107">
          <cell r="C107" t="str">
            <v>6-10</v>
          </cell>
          <cell r="D107">
            <v>55</v>
          </cell>
          <cell r="E107">
            <v>66.322511</v>
          </cell>
          <cell r="F107">
            <v>65343687</v>
          </cell>
          <cell r="G107">
            <v>80803141.991351</v>
          </cell>
        </row>
        <row r="110">
          <cell r="C110" t="str">
            <v>1</v>
          </cell>
          <cell r="D110">
            <v>24</v>
          </cell>
          <cell r="E110">
            <v>29.97782</v>
          </cell>
          <cell r="F110">
            <v>2800000</v>
          </cell>
          <cell r="G110">
            <v>3706230.346493</v>
          </cell>
        </row>
        <row r="111">
          <cell r="C111" t="str">
            <v>11-15</v>
          </cell>
          <cell r="D111">
            <v>122</v>
          </cell>
          <cell r="E111">
            <v>152.689035</v>
          </cell>
          <cell r="F111">
            <v>13395936</v>
          </cell>
          <cell r="G111">
            <v>17130660.220891</v>
          </cell>
        </row>
        <row r="112">
          <cell r="C112" t="str">
            <v>2</v>
          </cell>
          <cell r="D112">
            <v>38</v>
          </cell>
          <cell r="E112">
            <v>35.901048</v>
          </cell>
          <cell r="F112">
            <v>4818000</v>
          </cell>
          <cell r="G112">
            <v>4429839.341338</v>
          </cell>
        </row>
        <row r="113">
          <cell r="C113" t="str">
            <v>3</v>
          </cell>
          <cell r="D113">
            <v>44</v>
          </cell>
          <cell r="E113">
            <v>43.205638</v>
          </cell>
          <cell r="F113">
            <v>5588000</v>
          </cell>
          <cell r="G113">
            <v>5356917.654358</v>
          </cell>
        </row>
        <row r="114">
          <cell r="C114" t="str">
            <v>4-5</v>
          </cell>
          <cell r="D114">
            <v>61</v>
          </cell>
          <cell r="E114">
            <v>76.932837</v>
          </cell>
          <cell r="F114">
            <v>7445000</v>
          </cell>
          <cell r="G114">
            <v>9486580.774681</v>
          </cell>
        </row>
        <row r="115">
          <cell r="C115" t="str">
            <v>6-10</v>
          </cell>
          <cell r="D115">
            <v>157</v>
          </cell>
          <cell r="E115">
            <v>198.759034</v>
          </cell>
          <cell r="F115">
            <v>18251023</v>
          </cell>
          <cell r="G115">
            <v>23926477.676993</v>
          </cell>
        </row>
        <row r="116">
          <cell r="C116" t="str">
            <v>1</v>
          </cell>
          <cell r="D116">
            <v>21</v>
          </cell>
          <cell r="E116">
            <v>20.736582</v>
          </cell>
          <cell r="F116">
            <v>2658774</v>
          </cell>
          <cell r="G116">
            <v>2557610.615064</v>
          </cell>
        </row>
        <row r="117">
          <cell r="C117" t="str">
            <v>11-15</v>
          </cell>
          <cell r="D117">
            <v>44</v>
          </cell>
          <cell r="E117">
            <v>52.555447</v>
          </cell>
          <cell r="F117">
            <v>4996831</v>
          </cell>
          <cell r="G117">
            <v>6234993.257928</v>
          </cell>
        </row>
        <row r="118">
          <cell r="C118" t="str">
            <v>2</v>
          </cell>
          <cell r="D118">
            <v>38</v>
          </cell>
          <cell r="E118">
            <v>28.790321</v>
          </cell>
          <cell r="F118">
            <v>4887864</v>
          </cell>
          <cell r="G118">
            <v>3539020.725765</v>
          </cell>
        </row>
        <row r="119">
          <cell r="C119" t="str">
            <v>3</v>
          </cell>
          <cell r="D119">
            <v>43</v>
          </cell>
          <cell r="E119">
            <v>32.77371</v>
          </cell>
          <cell r="F119">
            <v>5416670</v>
          </cell>
          <cell r="G119">
            <v>4025921.592789</v>
          </cell>
        </row>
        <row r="120">
          <cell r="C120" t="str">
            <v>4-5</v>
          </cell>
          <cell r="D120">
            <v>65</v>
          </cell>
          <cell r="E120">
            <v>57.190572</v>
          </cell>
          <cell r="F120">
            <v>8267533</v>
          </cell>
          <cell r="G120">
            <v>7032486.550899</v>
          </cell>
        </row>
        <row r="121">
          <cell r="C121" t="str">
            <v>6-10</v>
          </cell>
          <cell r="D121">
            <v>114</v>
          </cell>
          <cell r="E121">
            <v>114.917618</v>
          </cell>
          <cell r="F121">
            <v>14014021</v>
          </cell>
          <cell r="G121">
            <v>14092384.758739</v>
          </cell>
        </row>
        <row r="122">
          <cell r="C122" t="str">
            <v>1</v>
          </cell>
          <cell r="D122">
            <v>10</v>
          </cell>
          <cell r="E122">
            <v>12.706346</v>
          </cell>
          <cell r="F122">
            <v>2800000</v>
          </cell>
          <cell r="G122">
            <v>3582950.269456</v>
          </cell>
        </row>
        <row r="123">
          <cell r="C123" t="str">
            <v>11-15</v>
          </cell>
          <cell r="D123">
            <v>11</v>
          </cell>
          <cell r="E123">
            <v>20.372287</v>
          </cell>
          <cell r="F123">
            <v>3431827</v>
          </cell>
          <cell r="G123">
            <v>5659376.323093</v>
          </cell>
        </row>
        <row r="124">
          <cell r="C124" t="str">
            <v>2</v>
          </cell>
          <cell r="D124">
            <v>18</v>
          </cell>
          <cell r="E124">
            <v>14.489192</v>
          </cell>
          <cell r="F124">
            <v>4800000</v>
          </cell>
          <cell r="G124">
            <v>4088342.660172</v>
          </cell>
        </row>
        <row r="125">
          <cell r="C125" t="str">
            <v>3</v>
          </cell>
          <cell r="D125">
            <v>12</v>
          </cell>
          <cell r="E125">
            <v>16.976129</v>
          </cell>
          <cell r="F125">
            <v>3300000</v>
          </cell>
          <cell r="G125">
            <v>4796865.539213</v>
          </cell>
        </row>
        <row r="126">
          <cell r="C126" t="str">
            <v>4-5</v>
          </cell>
          <cell r="D126">
            <v>22</v>
          </cell>
          <cell r="E126">
            <v>27.795776</v>
          </cell>
          <cell r="F126">
            <v>6431663</v>
          </cell>
          <cell r="G126">
            <v>7806018.639242</v>
          </cell>
        </row>
        <row r="127">
          <cell r="C127" t="str">
            <v>6-10</v>
          </cell>
          <cell r="D127">
            <v>30</v>
          </cell>
          <cell r="E127">
            <v>53.987615</v>
          </cell>
          <cell r="F127">
            <v>8375000</v>
          </cell>
          <cell r="G127">
            <v>15118577.51448</v>
          </cell>
        </row>
        <row r="128">
          <cell r="C128" t="str">
            <v>1</v>
          </cell>
          <cell r="D128">
            <v>7</v>
          </cell>
          <cell r="E128">
            <v>7.986746</v>
          </cell>
          <cell r="F128">
            <v>1900000</v>
          </cell>
          <cell r="G128">
            <v>2271141.592171</v>
          </cell>
        </row>
        <row r="129">
          <cell r="C129" t="str">
            <v>11-15</v>
          </cell>
          <cell r="D129">
            <v>15</v>
          </cell>
          <cell r="E129">
            <v>12.256171</v>
          </cell>
          <cell r="F129">
            <v>4114113</v>
          </cell>
          <cell r="G129">
            <v>3428521.596025</v>
          </cell>
        </row>
        <row r="130">
          <cell r="C130" t="str">
            <v>2</v>
          </cell>
          <cell r="D130">
            <v>7</v>
          </cell>
          <cell r="E130">
            <v>9.781367</v>
          </cell>
          <cell r="F130">
            <v>1900000</v>
          </cell>
          <cell r="G130">
            <v>2772738.070654</v>
          </cell>
        </row>
        <row r="131">
          <cell r="C131" t="str">
            <v>3</v>
          </cell>
          <cell r="D131">
            <v>8</v>
          </cell>
          <cell r="E131">
            <v>9.811742</v>
          </cell>
          <cell r="F131">
            <v>2350000</v>
          </cell>
          <cell r="G131">
            <v>2766287.384835</v>
          </cell>
        </row>
        <row r="132">
          <cell r="C132" t="str">
            <v>4-5</v>
          </cell>
          <cell r="D132">
            <v>16</v>
          </cell>
          <cell r="E132">
            <v>17.807292</v>
          </cell>
          <cell r="F132">
            <v>4550000</v>
          </cell>
          <cell r="G132">
            <v>5055357.329553</v>
          </cell>
        </row>
        <row r="133">
          <cell r="C133" t="str">
            <v>6-10</v>
          </cell>
          <cell r="D133">
            <v>34</v>
          </cell>
          <cell r="E133">
            <v>34.192081</v>
          </cell>
          <cell r="F133">
            <v>9454605</v>
          </cell>
          <cell r="G133">
            <v>9585604.754835</v>
          </cell>
        </row>
        <row r="134">
          <cell r="C134" t="str">
            <v>1</v>
          </cell>
          <cell r="D134">
            <v>5</v>
          </cell>
          <cell r="E134">
            <v>5.925844</v>
          </cell>
          <cell r="F134">
            <v>2500000</v>
          </cell>
          <cell r="G134">
            <v>3244101.439619</v>
          </cell>
        </row>
        <row r="135">
          <cell r="C135" t="str">
            <v>11-15</v>
          </cell>
          <cell r="D135">
            <v>2</v>
          </cell>
          <cell r="E135">
            <v>5.580131</v>
          </cell>
          <cell r="F135">
            <v>1000000</v>
          </cell>
          <cell r="G135">
            <v>3119758.783457</v>
          </cell>
        </row>
        <row r="136">
          <cell r="C136" t="str">
            <v>2</v>
          </cell>
          <cell r="D136">
            <v>7</v>
          </cell>
          <cell r="E136">
            <v>6.225884</v>
          </cell>
          <cell r="F136">
            <v>3850000</v>
          </cell>
          <cell r="G136">
            <v>3424559.357245</v>
          </cell>
        </row>
        <row r="137">
          <cell r="C137" t="str">
            <v>3</v>
          </cell>
          <cell r="D137">
            <v>6</v>
          </cell>
          <cell r="E137">
            <v>7.172881</v>
          </cell>
          <cell r="F137">
            <v>3950000</v>
          </cell>
          <cell r="G137">
            <v>3902647.802976</v>
          </cell>
        </row>
        <row r="138">
          <cell r="C138" t="str">
            <v>4-5</v>
          </cell>
          <cell r="D138">
            <v>12</v>
          </cell>
          <cell r="E138">
            <v>11.533508</v>
          </cell>
          <cell r="F138">
            <v>6570000</v>
          </cell>
          <cell r="G138">
            <v>6321407.549145</v>
          </cell>
        </row>
        <row r="139">
          <cell r="C139" t="str">
            <v>6-10</v>
          </cell>
          <cell r="D139">
            <v>15</v>
          </cell>
          <cell r="E139">
            <v>20.195335</v>
          </cell>
          <cell r="F139">
            <v>8200000</v>
          </cell>
          <cell r="G139">
            <v>11057219.667066</v>
          </cell>
        </row>
        <row r="140">
          <cell r="C140" t="str">
            <v>1</v>
          </cell>
          <cell r="D140">
            <v>4</v>
          </cell>
          <cell r="E140">
            <v>3.325631</v>
          </cell>
          <cell r="F140">
            <v>2000000</v>
          </cell>
          <cell r="G140">
            <v>1826372.810542</v>
          </cell>
        </row>
        <row r="141">
          <cell r="C141" t="str">
            <v>11-15</v>
          </cell>
          <cell r="D141">
            <v>8</v>
          </cell>
          <cell r="E141">
            <v>4.245309</v>
          </cell>
          <cell r="F141">
            <v>5454981</v>
          </cell>
          <cell r="G141">
            <v>2496102.355955</v>
          </cell>
        </row>
        <row r="142">
          <cell r="C142" t="str">
            <v>2</v>
          </cell>
          <cell r="D142">
            <v>2</v>
          </cell>
          <cell r="E142">
            <v>4.100277</v>
          </cell>
          <cell r="F142">
            <v>1000000</v>
          </cell>
          <cell r="G142">
            <v>2255237.503984</v>
          </cell>
        </row>
        <row r="143">
          <cell r="C143" t="str">
            <v>3</v>
          </cell>
          <cell r="D143">
            <v>5</v>
          </cell>
          <cell r="E143">
            <v>4.40386</v>
          </cell>
          <cell r="F143">
            <v>2500000</v>
          </cell>
          <cell r="G143">
            <v>2458520.838095</v>
          </cell>
        </row>
        <row r="144">
          <cell r="C144" t="str">
            <v>4-5</v>
          </cell>
          <cell r="D144">
            <v>8</v>
          </cell>
          <cell r="E144">
            <v>7.380708</v>
          </cell>
          <cell r="F144">
            <v>4700000</v>
          </cell>
          <cell r="G144">
            <v>4130090.468428</v>
          </cell>
        </row>
        <row r="145">
          <cell r="C145" t="str">
            <v>6-10</v>
          </cell>
          <cell r="D145">
            <v>13</v>
          </cell>
          <cell r="E145">
            <v>12.979543</v>
          </cell>
          <cell r="F145">
            <v>7615453</v>
          </cell>
          <cell r="G145">
            <v>7203792.80125</v>
          </cell>
        </row>
        <row r="146">
          <cell r="C146" t="str">
            <v>1</v>
          </cell>
          <cell r="D146">
            <v>2</v>
          </cell>
          <cell r="E146">
            <v>3.023601</v>
          </cell>
          <cell r="F146">
            <v>2000000</v>
          </cell>
          <cell r="G146">
            <v>3619283.417155</v>
          </cell>
        </row>
        <row r="147">
          <cell r="C147" t="str">
            <v>11-15</v>
          </cell>
          <cell r="D147">
            <v>1</v>
          </cell>
          <cell r="E147">
            <v>2.228998</v>
          </cell>
          <cell r="F147">
            <v>1000000</v>
          </cell>
          <cell r="G147">
            <v>2631581.923893</v>
          </cell>
        </row>
        <row r="148">
          <cell r="C148" t="str">
            <v>2</v>
          </cell>
          <cell r="D148">
            <v>2</v>
          </cell>
          <cell r="E148">
            <v>3.05623</v>
          </cell>
          <cell r="F148">
            <v>2500000</v>
          </cell>
          <cell r="G148">
            <v>3654184.57902</v>
          </cell>
        </row>
        <row r="149">
          <cell r="C149" t="str">
            <v>3</v>
          </cell>
          <cell r="D149">
            <v>2</v>
          </cell>
          <cell r="E149">
            <v>3.403883</v>
          </cell>
          <cell r="F149">
            <v>2000000</v>
          </cell>
          <cell r="G149">
            <v>4050670.759825</v>
          </cell>
        </row>
        <row r="150">
          <cell r="C150" t="str">
            <v>4-5</v>
          </cell>
          <cell r="D150">
            <v>4</v>
          </cell>
          <cell r="E150">
            <v>5.651665</v>
          </cell>
          <cell r="F150">
            <v>4500000</v>
          </cell>
          <cell r="G150">
            <v>6704068.260964</v>
          </cell>
        </row>
        <row r="151">
          <cell r="C151" t="str">
            <v>6-10</v>
          </cell>
          <cell r="D151">
            <v>9</v>
          </cell>
          <cell r="E151">
            <v>9.586168</v>
          </cell>
          <cell r="F151">
            <v>12800000</v>
          </cell>
          <cell r="G151">
            <v>11602548.431614</v>
          </cell>
        </row>
        <row r="152">
          <cell r="C152" t="str">
            <v>1</v>
          </cell>
          <cell r="D152">
            <v>1</v>
          </cell>
          <cell r="E152">
            <v>1.767548</v>
          </cell>
          <cell r="F152">
            <v>1000000</v>
          </cell>
          <cell r="G152">
            <v>2136906.595901</v>
          </cell>
        </row>
        <row r="153">
          <cell r="C153" t="str">
            <v>11-15</v>
          </cell>
          <cell r="D153">
            <v>1</v>
          </cell>
          <cell r="E153">
            <v>2.195163</v>
          </cell>
          <cell r="F153">
            <v>1000000</v>
          </cell>
          <cell r="G153">
            <v>2631854.947952</v>
          </cell>
        </row>
        <row r="154">
          <cell r="C154" t="str">
            <v>2</v>
          </cell>
          <cell r="D154">
            <v>1</v>
          </cell>
          <cell r="E154">
            <v>1.967217</v>
          </cell>
          <cell r="F154">
            <v>1000000</v>
          </cell>
          <cell r="G154">
            <v>2385754.259904</v>
          </cell>
        </row>
        <row r="155">
          <cell r="C155" t="str">
            <v>3</v>
          </cell>
          <cell r="D155">
            <v>0</v>
          </cell>
          <cell r="E155">
            <v>2.155347</v>
          </cell>
          <cell r="F155">
            <v>0</v>
          </cell>
          <cell r="G155">
            <v>2605363.808494</v>
          </cell>
        </row>
        <row r="156">
          <cell r="C156" t="str">
            <v>4-5</v>
          </cell>
          <cell r="D156">
            <v>6</v>
          </cell>
          <cell r="E156">
            <v>3.568691</v>
          </cell>
          <cell r="F156">
            <v>6500000</v>
          </cell>
          <cell r="G156">
            <v>4300496.600384</v>
          </cell>
        </row>
        <row r="157">
          <cell r="C157" t="str">
            <v>6-10</v>
          </cell>
          <cell r="D157">
            <v>7</v>
          </cell>
          <cell r="E157">
            <v>5.462538</v>
          </cell>
          <cell r="F157">
            <v>9031173</v>
          </cell>
          <cell r="G157">
            <v>6631799.496207</v>
          </cell>
        </row>
        <row r="160">
          <cell r="C160" t="str">
            <v>1</v>
          </cell>
          <cell r="D160">
            <v>16</v>
          </cell>
          <cell r="E160">
            <v>34.434391</v>
          </cell>
          <cell r="F160">
            <v>6129513</v>
          </cell>
          <cell r="G160">
            <v>15413958.664692</v>
          </cell>
        </row>
        <row r="161">
          <cell r="C161" t="str">
            <v>11-15</v>
          </cell>
          <cell r="D161">
            <v>647</v>
          </cell>
          <cell r="E161">
            <v>1184.559664</v>
          </cell>
          <cell r="F161">
            <v>141165633</v>
          </cell>
          <cell r="G161">
            <v>277573237.437132</v>
          </cell>
        </row>
        <row r="162">
          <cell r="C162" t="str">
            <v>2</v>
          </cell>
          <cell r="D162">
            <v>49</v>
          </cell>
          <cell r="E162">
            <v>81.121438</v>
          </cell>
          <cell r="F162">
            <v>24709397</v>
          </cell>
          <cell r="G162">
            <v>31603564.431684</v>
          </cell>
        </row>
        <row r="163">
          <cell r="C163" t="str">
            <v>3</v>
          </cell>
          <cell r="D163">
            <v>113</v>
          </cell>
          <cell r="E163">
            <v>135.523985</v>
          </cell>
          <cell r="F163">
            <v>24308204</v>
          </cell>
          <cell r="G163">
            <v>42414811.989584</v>
          </cell>
        </row>
        <row r="164">
          <cell r="C164" t="str">
            <v>4-5</v>
          </cell>
          <cell r="D164">
            <v>288</v>
          </cell>
          <cell r="E164">
            <v>426.979409</v>
          </cell>
          <cell r="F164">
            <v>79644046</v>
          </cell>
          <cell r="G164">
            <v>132064556.514817</v>
          </cell>
        </row>
        <row r="165">
          <cell r="C165" t="str">
            <v>6-10</v>
          </cell>
          <cell r="D165">
            <v>949</v>
          </cell>
          <cell r="E165">
            <v>1668.818224</v>
          </cell>
          <cell r="F165">
            <v>257216561</v>
          </cell>
          <cell r="G165">
            <v>484555689.736331</v>
          </cell>
        </row>
        <row r="166">
          <cell r="C166" t="str">
            <v>1</v>
          </cell>
          <cell r="D166">
            <v>25</v>
          </cell>
          <cell r="E166">
            <v>42.348323</v>
          </cell>
          <cell r="F166">
            <v>12126970</v>
          </cell>
          <cell r="G166">
            <v>18727711.201322</v>
          </cell>
        </row>
        <row r="167">
          <cell r="C167" t="str">
            <v>11-15</v>
          </cell>
          <cell r="D167">
            <v>646</v>
          </cell>
          <cell r="E167">
            <v>942.59886</v>
          </cell>
          <cell r="F167">
            <v>151062810</v>
          </cell>
          <cell r="G167">
            <v>212951552.470946</v>
          </cell>
        </row>
        <row r="168">
          <cell r="C168" t="str">
            <v>2</v>
          </cell>
          <cell r="D168">
            <v>63</v>
          </cell>
          <cell r="E168">
            <v>74.848474</v>
          </cell>
          <cell r="F168">
            <v>25236742</v>
          </cell>
          <cell r="G168">
            <v>28257019.248299</v>
          </cell>
        </row>
        <row r="169">
          <cell r="C169" t="str">
            <v>3</v>
          </cell>
          <cell r="D169">
            <v>91</v>
          </cell>
          <cell r="E169">
            <v>104.076106</v>
          </cell>
          <cell r="F169">
            <v>26767762</v>
          </cell>
          <cell r="G169">
            <v>31459064.534752</v>
          </cell>
        </row>
        <row r="170">
          <cell r="C170" t="str">
            <v>4-5</v>
          </cell>
          <cell r="D170">
            <v>282</v>
          </cell>
          <cell r="E170">
            <v>315.850402</v>
          </cell>
          <cell r="F170">
            <v>80583746</v>
          </cell>
          <cell r="G170">
            <v>92839961.363298</v>
          </cell>
        </row>
        <row r="171">
          <cell r="C171" t="str">
            <v>6-10</v>
          </cell>
          <cell r="D171">
            <v>800</v>
          </cell>
          <cell r="E171">
            <v>971.807842</v>
          </cell>
          <cell r="F171">
            <v>199021921</v>
          </cell>
          <cell r="G171">
            <v>256863427.201362</v>
          </cell>
        </row>
        <row r="172">
          <cell r="C172" t="str">
            <v>1</v>
          </cell>
          <cell r="D172">
            <v>25</v>
          </cell>
          <cell r="E172">
            <v>76.753554</v>
          </cell>
          <cell r="F172">
            <v>15525000</v>
          </cell>
          <cell r="G172">
            <v>35564435.857796</v>
          </cell>
        </row>
        <row r="173">
          <cell r="C173" t="str">
            <v>11-15</v>
          </cell>
          <cell r="D173">
            <v>1</v>
          </cell>
          <cell r="E173">
            <v>1.228678</v>
          </cell>
          <cell r="F173">
            <v>950000</v>
          </cell>
          <cell r="G173">
            <v>412383.831687</v>
          </cell>
        </row>
        <row r="174">
          <cell r="C174" t="str">
            <v>2</v>
          </cell>
          <cell r="D174">
            <v>42</v>
          </cell>
          <cell r="E174">
            <v>85.119131</v>
          </cell>
          <cell r="F174">
            <v>13966997</v>
          </cell>
          <cell r="G174">
            <v>37415120.154701</v>
          </cell>
        </row>
        <row r="175">
          <cell r="C175" t="str">
            <v>3</v>
          </cell>
          <cell r="D175">
            <v>49</v>
          </cell>
          <cell r="E175">
            <v>85.268746</v>
          </cell>
          <cell r="F175">
            <v>18576000</v>
          </cell>
          <cell r="G175">
            <v>35107348.881768</v>
          </cell>
        </row>
        <row r="176">
          <cell r="C176" t="str">
            <v>4-5</v>
          </cell>
          <cell r="D176">
            <v>103</v>
          </cell>
          <cell r="E176">
            <v>173.886699</v>
          </cell>
          <cell r="F176">
            <v>35060009</v>
          </cell>
          <cell r="G176">
            <v>61416800.608019</v>
          </cell>
        </row>
        <row r="177">
          <cell r="C177" t="str">
            <v>6-10</v>
          </cell>
          <cell r="D177">
            <v>152</v>
          </cell>
          <cell r="E177">
            <v>288.613104</v>
          </cell>
          <cell r="F177">
            <v>41607082</v>
          </cell>
          <cell r="G177">
            <v>88372701.602618</v>
          </cell>
        </row>
        <row r="178">
          <cell r="C178" t="str">
            <v>1</v>
          </cell>
          <cell r="D178">
            <v>74</v>
          </cell>
          <cell r="E178">
            <v>106.05907</v>
          </cell>
          <cell r="F178">
            <v>20858933</v>
          </cell>
          <cell r="G178">
            <v>42298731.293527</v>
          </cell>
        </row>
        <row r="179">
          <cell r="C179" t="str">
            <v>11-15</v>
          </cell>
          <cell r="D179">
            <v>2</v>
          </cell>
          <cell r="E179">
            <v>4.653454</v>
          </cell>
          <cell r="F179">
            <v>237119</v>
          </cell>
          <cell r="G179">
            <v>1334317.741492</v>
          </cell>
        </row>
        <row r="180">
          <cell r="C180" t="str">
            <v>2</v>
          </cell>
          <cell r="D180">
            <v>73</v>
          </cell>
          <cell r="E180">
            <v>119.262564</v>
          </cell>
          <cell r="F180">
            <v>23467368</v>
          </cell>
          <cell r="G180">
            <v>45651199.402455</v>
          </cell>
        </row>
        <row r="181">
          <cell r="C181" t="str">
            <v>3</v>
          </cell>
          <cell r="D181">
            <v>98</v>
          </cell>
          <cell r="E181">
            <v>121.897392</v>
          </cell>
          <cell r="F181">
            <v>25542368</v>
          </cell>
          <cell r="G181">
            <v>43092158.990721</v>
          </cell>
        </row>
        <row r="182">
          <cell r="C182" t="str">
            <v>4-5</v>
          </cell>
          <cell r="D182">
            <v>154</v>
          </cell>
          <cell r="E182">
            <v>198.598444</v>
          </cell>
          <cell r="F182">
            <v>42491825</v>
          </cell>
          <cell r="G182">
            <v>66520244.436927</v>
          </cell>
        </row>
        <row r="183">
          <cell r="C183" t="str">
            <v>6-10</v>
          </cell>
          <cell r="D183">
            <v>158</v>
          </cell>
          <cell r="E183">
            <v>276.980088</v>
          </cell>
          <cell r="F183">
            <v>48384832</v>
          </cell>
          <cell r="G183">
            <v>81422732.986121</v>
          </cell>
        </row>
        <row r="184">
          <cell r="C184" t="str">
            <v>1</v>
          </cell>
          <cell r="D184">
            <v>101</v>
          </cell>
          <cell r="E184">
            <v>119.845936</v>
          </cell>
          <cell r="F184">
            <v>29839121</v>
          </cell>
          <cell r="G184">
            <v>44371443.141338</v>
          </cell>
        </row>
        <row r="185">
          <cell r="C185" t="str">
            <v>11-15</v>
          </cell>
          <cell r="D185">
            <v>6</v>
          </cell>
          <cell r="E185">
            <v>4.473953</v>
          </cell>
          <cell r="F185">
            <v>1803875</v>
          </cell>
          <cell r="G185">
            <v>1045091.637774</v>
          </cell>
        </row>
        <row r="186">
          <cell r="C186" t="str">
            <v>2</v>
          </cell>
          <cell r="D186">
            <v>106</v>
          </cell>
          <cell r="E186">
            <v>131.084421</v>
          </cell>
          <cell r="F186">
            <v>32654000</v>
          </cell>
          <cell r="G186">
            <v>45918103.608932</v>
          </cell>
        </row>
        <row r="187">
          <cell r="C187" t="str">
            <v>3</v>
          </cell>
          <cell r="D187">
            <v>138</v>
          </cell>
          <cell r="E187">
            <v>128.45775</v>
          </cell>
          <cell r="F187">
            <v>45946212</v>
          </cell>
          <cell r="G187">
            <v>41974681.269699</v>
          </cell>
        </row>
        <row r="188">
          <cell r="C188" t="str">
            <v>4-5</v>
          </cell>
          <cell r="D188">
            <v>230</v>
          </cell>
          <cell r="E188">
            <v>219.342082</v>
          </cell>
          <cell r="F188">
            <v>66440333</v>
          </cell>
          <cell r="G188">
            <v>67658670.10872</v>
          </cell>
        </row>
        <row r="189">
          <cell r="C189" t="str">
            <v>6-10</v>
          </cell>
          <cell r="D189">
            <v>194</v>
          </cell>
          <cell r="E189">
            <v>228.454525</v>
          </cell>
          <cell r="F189">
            <v>52555850</v>
          </cell>
          <cell r="G189">
            <v>60974267.523146</v>
          </cell>
        </row>
        <row r="190">
          <cell r="C190" t="str">
            <v>1</v>
          </cell>
          <cell r="D190">
            <v>14</v>
          </cell>
          <cell r="E190">
            <v>39.313575</v>
          </cell>
          <cell r="F190">
            <v>6350000</v>
          </cell>
          <cell r="G190">
            <v>20938917.645432</v>
          </cell>
        </row>
        <row r="191">
          <cell r="C191" t="str">
            <v>2</v>
          </cell>
          <cell r="D191">
            <v>41</v>
          </cell>
          <cell r="E191">
            <v>84.368977</v>
          </cell>
          <cell r="F191">
            <v>19326333</v>
          </cell>
          <cell r="G191">
            <v>41478784.469299</v>
          </cell>
        </row>
        <row r="192">
          <cell r="C192" t="str">
            <v>3</v>
          </cell>
          <cell r="D192">
            <v>58</v>
          </cell>
          <cell r="E192">
            <v>103.864609</v>
          </cell>
          <cell r="F192">
            <v>23057000</v>
          </cell>
          <cell r="G192">
            <v>47746002.643827</v>
          </cell>
        </row>
        <row r="193">
          <cell r="C193" t="str">
            <v>4-5</v>
          </cell>
          <cell r="D193">
            <v>59</v>
          </cell>
          <cell r="E193">
            <v>105.341329</v>
          </cell>
          <cell r="F193">
            <v>16088000</v>
          </cell>
          <cell r="G193">
            <v>43214965.018441</v>
          </cell>
        </row>
        <row r="194">
          <cell r="C194" t="str">
            <v>6-10</v>
          </cell>
          <cell r="D194">
            <v>27</v>
          </cell>
          <cell r="E194">
            <v>45.099963</v>
          </cell>
          <cell r="F194">
            <v>19761000</v>
          </cell>
          <cell r="G194">
            <v>34229475.851209</v>
          </cell>
        </row>
        <row r="195">
          <cell r="C195" t="str">
            <v>1</v>
          </cell>
          <cell r="D195">
            <v>26</v>
          </cell>
          <cell r="E195">
            <v>46.745088</v>
          </cell>
          <cell r="F195">
            <v>7818000</v>
          </cell>
          <cell r="G195">
            <v>18204204.767866</v>
          </cell>
        </row>
        <row r="196">
          <cell r="C196" t="str">
            <v>2</v>
          </cell>
          <cell r="D196">
            <v>69</v>
          </cell>
          <cell r="E196">
            <v>93.739715</v>
          </cell>
          <cell r="F196">
            <v>24960813</v>
          </cell>
          <cell r="G196">
            <v>35492078.915811</v>
          </cell>
        </row>
        <row r="197">
          <cell r="C197" t="str">
            <v>3</v>
          </cell>
          <cell r="D197">
            <v>78</v>
          </cell>
          <cell r="E197">
            <v>110.472062</v>
          </cell>
          <cell r="F197">
            <v>22981000</v>
          </cell>
          <cell r="G197">
            <v>40653843.282203</v>
          </cell>
        </row>
        <row r="198">
          <cell r="C198" t="str">
            <v>4-5</v>
          </cell>
          <cell r="D198">
            <v>90</v>
          </cell>
          <cell r="E198">
            <v>126.32998</v>
          </cell>
          <cell r="F198">
            <v>31029627</v>
          </cell>
          <cell r="G198">
            <v>42913913.609005</v>
          </cell>
        </row>
        <row r="199">
          <cell r="C199" t="str">
            <v>6-10</v>
          </cell>
          <cell r="D199">
            <v>102</v>
          </cell>
          <cell r="E199">
            <v>194.167147</v>
          </cell>
          <cell r="F199">
            <v>31032229</v>
          </cell>
          <cell r="G199">
            <v>72698391.885951</v>
          </cell>
        </row>
        <row r="200">
          <cell r="C200" t="str">
            <v>1</v>
          </cell>
          <cell r="D200">
            <v>33</v>
          </cell>
          <cell r="E200">
            <v>36.681752</v>
          </cell>
          <cell r="F200">
            <v>11597000</v>
          </cell>
          <cell r="G200">
            <v>14930471.995404</v>
          </cell>
        </row>
        <row r="201">
          <cell r="C201" t="str">
            <v>2</v>
          </cell>
          <cell r="D201">
            <v>47</v>
          </cell>
          <cell r="E201">
            <v>58.963504</v>
          </cell>
          <cell r="F201">
            <v>17235000</v>
          </cell>
          <cell r="G201">
            <v>22162798.515698</v>
          </cell>
        </row>
        <row r="202">
          <cell r="C202" t="str">
            <v>3</v>
          </cell>
          <cell r="D202">
            <v>37</v>
          </cell>
          <cell r="E202">
            <v>61.565265</v>
          </cell>
          <cell r="F202">
            <v>12866000</v>
          </cell>
          <cell r="G202">
            <v>20790584.327493</v>
          </cell>
        </row>
        <row r="203">
          <cell r="C203" t="str">
            <v>4-5</v>
          </cell>
          <cell r="D203">
            <v>64</v>
          </cell>
          <cell r="E203">
            <v>87.19779</v>
          </cell>
          <cell r="F203">
            <v>21024230</v>
          </cell>
          <cell r="G203">
            <v>27715557.547748</v>
          </cell>
        </row>
        <row r="204">
          <cell r="C204" t="str">
            <v>6-10</v>
          </cell>
          <cell r="D204">
            <v>96</v>
          </cell>
          <cell r="E204">
            <v>130.528309</v>
          </cell>
          <cell r="F204">
            <v>32515747</v>
          </cell>
          <cell r="G204">
            <v>45139148.149937</v>
          </cell>
        </row>
        <row r="205">
          <cell r="C205" t="str">
            <v>1</v>
          </cell>
          <cell r="D205">
            <v>23</v>
          </cell>
          <cell r="E205">
            <v>26.225193</v>
          </cell>
          <cell r="F205">
            <v>10017000</v>
          </cell>
          <cell r="G205">
            <v>8808599.444964</v>
          </cell>
        </row>
        <row r="206">
          <cell r="C206" t="str">
            <v>2</v>
          </cell>
          <cell r="D206">
            <v>39</v>
          </cell>
          <cell r="E206">
            <v>40.633556</v>
          </cell>
          <cell r="F206">
            <v>11929000</v>
          </cell>
          <cell r="G206">
            <v>12791541.953059</v>
          </cell>
        </row>
        <row r="207">
          <cell r="C207" t="str">
            <v>3</v>
          </cell>
          <cell r="D207">
            <v>58</v>
          </cell>
          <cell r="E207">
            <v>53.169574</v>
          </cell>
          <cell r="F207">
            <v>16447905</v>
          </cell>
          <cell r="G207">
            <v>16637657.007742</v>
          </cell>
        </row>
        <row r="208">
          <cell r="C208" t="str">
            <v>4-5</v>
          </cell>
          <cell r="D208">
            <v>62</v>
          </cell>
          <cell r="E208">
            <v>62.389203</v>
          </cell>
          <cell r="F208">
            <v>15879000</v>
          </cell>
          <cell r="G208">
            <v>18607333.489631</v>
          </cell>
        </row>
        <row r="209">
          <cell r="C209" t="str">
            <v>6-10</v>
          </cell>
          <cell r="D209">
            <v>44</v>
          </cell>
          <cell r="E209">
            <v>55.264142</v>
          </cell>
          <cell r="F209">
            <v>14161474</v>
          </cell>
          <cell r="G209">
            <v>16084493.569825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64"/>
  <sheetViews>
    <sheetView zoomScale="85" zoomScaleNormal="85" zoomScaleSheetLayoutView="85" zoomScalePageLayoutView="0" workbookViewId="0" topLeftCell="A1">
      <selection activeCell="G16" sqref="G16"/>
    </sheetView>
  </sheetViews>
  <sheetFormatPr defaultColWidth="9.140625" defaultRowHeight="12.75"/>
  <cols>
    <col min="1" max="1" width="17.28125" style="23" bestFit="1" customWidth="1"/>
    <col min="2" max="2" width="18.421875" style="309" customWidth="1"/>
    <col min="3" max="3" width="13.57421875" style="309" bestFit="1" customWidth="1"/>
    <col min="4" max="4" width="13.57421875" style="309" customWidth="1"/>
    <col min="5" max="5" width="10.8515625" style="359" customWidth="1"/>
    <col min="6" max="6" width="13.7109375" style="360" customWidth="1"/>
    <col min="7" max="7" width="13.57421875" style="360" customWidth="1"/>
    <col min="8" max="8" width="11.8515625" style="359" customWidth="1"/>
    <col min="9" max="9" width="16.28125" style="414" bestFit="1" customWidth="1"/>
    <col min="10" max="10" width="19.57421875" style="359" bestFit="1" customWidth="1"/>
    <col min="11" max="11" width="18.57421875" style="360" customWidth="1"/>
    <col min="12" max="12" width="14.140625" style="359" customWidth="1"/>
    <col min="13" max="13" width="13.00390625" style="361" customWidth="1"/>
    <col min="14" max="14" width="11.00390625" style="311" bestFit="1" customWidth="1"/>
    <col min="15" max="15" width="9.8515625" style="311" hidden="1" customWidth="1"/>
    <col min="16" max="20" width="0" style="311" hidden="1" customWidth="1"/>
    <col min="21" max="16384" width="9.140625" style="311" customWidth="1"/>
  </cols>
  <sheetData>
    <row r="1" spans="6:9" ht="20.25" customHeight="1">
      <c r="F1" s="672" t="s">
        <v>86</v>
      </c>
      <c r="G1" s="672"/>
      <c r="H1" s="672"/>
      <c r="I1" s="672"/>
    </row>
    <row r="2" spans="2:12" ht="18">
      <c r="B2" s="24" t="s">
        <v>80</v>
      </c>
      <c r="C2" s="362"/>
      <c r="D2" s="362"/>
      <c r="E2" s="363"/>
      <c r="F2" s="364"/>
      <c r="G2" s="364"/>
      <c r="H2" s="363"/>
      <c r="I2" s="365"/>
      <c r="J2" s="363"/>
      <c r="K2" s="364"/>
      <c r="L2" s="363"/>
    </row>
    <row r="3" spans="2:12" ht="15.75">
      <c r="B3" s="18" t="s">
        <v>1</v>
      </c>
      <c r="C3" s="362"/>
      <c r="D3" s="362"/>
      <c r="E3" s="363"/>
      <c r="F3" s="364"/>
      <c r="G3" s="364"/>
      <c r="H3" s="363"/>
      <c r="I3" s="365"/>
      <c r="J3" s="363"/>
      <c r="K3" s="364"/>
      <c r="L3" s="363"/>
    </row>
    <row r="4" spans="2:12" ht="15">
      <c r="B4" s="25" t="s">
        <v>99</v>
      </c>
      <c r="C4" s="362"/>
      <c r="D4" s="362"/>
      <c r="E4" s="363"/>
      <c r="F4" s="364"/>
      <c r="G4" s="364"/>
      <c r="H4" s="363"/>
      <c r="I4" s="365"/>
      <c r="J4" s="363"/>
      <c r="K4" s="364"/>
      <c r="L4" s="363"/>
    </row>
    <row r="5" spans="1:28" ht="12.75">
      <c r="A5" s="456"/>
      <c r="B5" s="671" t="s">
        <v>262</v>
      </c>
      <c r="C5" s="671"/>
      <c r="D5" s="671"/>
      <c r="E5" s="671"/>
      <c r="F5" s="671"/>
      <c r="G5" s="671"/>
      <c r="H5" s="671"/>
      <c r="I5" s="671"/>
      <c r="J5" s="671"/>
      <c r="K5" s="671"/>
      <c r="L5" s="671"/>
      <c r="M5" s="456"/>
      <c r="N5" s="456"/>
      <c r="O5" s="456"/>
      <c r="P5" s="456"/>
      <c r="Q5" s="456"/>
      <c r="R5" s="456"/>
      <c r="S5" s="456"/>
      <c r="T5" s="456"/>
      <c r="U5" s="456"/>
      <c r="V5" s="456"/>
      <c r="W5" s="456"/>
      <c r="X5" s="456"/>
      <c r="Y5" s="456"/>
      <c r="Z5" s="456"/>
      <c r="AA5" s="456"/>
      <c r="AB5" s="456"/>
    </row>
    <row r="6" spans="2:9" ht="7.5" customHeight="1">
      <c r="B6" s="26"/>
      <c r="C6" s="26"/>
      <c r="D6" s="26"/>
      <c r="E6" s="51"/>
      <c r="F6" s="27"/>
      <c r="G6" s="27"/>
      <c r="H6" s="51"/>
      <c r="I6" s="28"/>
    </row>
    <row r="7" spans="3:13" ht="38.25">
      <c r="C7" s="366" t="s">
        <v>2</v>
      </c>
      <c r="D7" s="366" t="s">
        <v>3</v>
      </c>
      <c r="E7" s="367" t="s">
        <v>257</v>
      </c>
      <c r="F7" s="368" t="s">
        <v>4</v>
      </c>
      <c r="G7" s="368" t="s">
        <v>5</v>
      </c>
      <c r="H7" s="367" t="s">
        <v>70</v>
      </c>
      <c r="I7" s="369" t="s">
        <v>6</v>
      </c>
      <c r="J7" s="370" t="s">
        <v>7</v>
      </c>
      <c r="K7" s="368" t="s">
        <v>261</v>
      </c>
      <c r="L7" s="371" t="s">
        <v>8</v>
      </c>
      <c r="M7" s="29" t="s">
        <v>9</v>
      </c>
    </row>
    <row r="8" spans="1:13" ht="12.75">
      <c r="A8" s="30" t="s">
        <v>10</v>
      </c>
      <c r="B8" s="372"/>
      <c r="C8" s="31">
        <f>SUM(C10:C22)</f>
        <v>209089</v>
      </c>
      <c r="D8" s="31">
        <f>SUM(D10:D22)</f>
        <v>259311.24337999438</v>
      </c>
      <c r="E8" s="33">
        <f>C8/D8</f>
        <v>0.8063244665932253</v>
      </c>
      <c r="F8" s="32">
        <f>SUM(F10:F22)</f>
        <v>15637.461603</v>
      </c>
      <c r="G8" s="32">
        <f>SUM(G10:G22)</f>
        <v>23572.03552977722</v>
      </c>
      <c r="H8" s="33">
        <f>F8/G8</f>
        <v>0.6633903798102663</v>
      </c>
      <c r="I8" s="31">
        <f>SUM(I10:I22)</f>
        <v>55005885.845819734</v>
      </c>
      <c r="J8" s="33">
        <v>1</v>
      </c>
      <c r="K8" s="32">
        <f>SUM(K10:K22)</f>
        <v>8772059.766786402</v>
      </c>
      <c r="L8" s="34">
        <v>1</v>
      </c>
      <c r="M8" s="35">
        <v>1</v>
      </c>
    </row>
    <row r="9" spans="3:21" ht="12.75">
      <c r="C9" s="373"/>
      <c r="D9" s="373"/>
      <c r="E9" s="374"/>
      <c r="F9" s="375"/>
      <c r="G9" s="375"/>
      <c r="H9" s="374"/>
      <c r="I9" s="376"/>
      <c r="J9" s="374"/>
      <c r="K9" s="377"/>
      <c r="L9" s="374"/>
      <c r="M9" s="378"/>
      <c r="U9" s="309"/>
    </row>
    <row r="10" spans="1:21" ht="12.75">
      <c r="A10" s="23" t="s">
        <v>11</v>
      </c>
      <c r="B10" s="379" t="s">
        <v>12</v>
      </c>
      <c r="C10" s="232">
        <v>912</v>
      </c>
      <c r="D10" s="232">
        <v>1082.4338800000166</v>
      </c>
      <c r="E10" s="233">
        <v>0.8425456897191596</v>
      </c>
      <c r="F10" s="234">
        <v>23.272221</v>
      </c>
      <c r="G10" s="234">
        <v>33.93126560423986</v>
      </c>
      <c r="H10" s="233">
        <v>0.6858636300643036</v>
      </c>
      <c r="I10" s="232">
        <v>2975917.667599991</v>
      </c>
      <c r="J10" s="233">
        <v>0.05410180423130393</v>
      </c>
      <c r="K10" s="234">
        <v>105212.84510972703</v>
      </c>
      <c r="L10" s="233">
        <v>0.0119940866691417</v>
      </c>
      <c r="M10" s="380">
        <v>0.0014394711717355259</v>
      </c>
      <c r="U10" s="381"/>
    </row>
    <row r="11" spans="2:21" ht="12.75">
      <c r="B11" s="382" t="s">
        <v>13</v>
      </c>
      <c r="C11" s="381">
        <v>928</v>
      </c>
      <c r="D11" s="381">
        <v>1002.4837500000028</v>
      </c>
      <c r="E11" s="378">
        <v>0.9257007906611926</v>
      </c>
      <c r="F11" s="383">
        <v>28.734901999999998</v>
      </c>
      <c r="G11" s="383">
        <v>34.492772134560106</v>
      </c>
      <c r="H11" s="378">
        <v>0.8330702411479709</v>
      </c>
      <c r="I11" s="381">
        <v>2627715.541169982</v>
      </c>
      <c r="J11" s="378">
        <v>0.047771533914305275</v>
      </c>
      <c r="K11" s="383">
        <v>105359.33640434072</v>
      </c>
      <c r="L11" s="378">
        <v>0.012010786429347204</v>
      </c>
      <c r="M11" s="384">
        <v>0.0014632920475190756</v>
      </c>
      <c r="U11" s="381"/>
    </row>
    <row r="12" spans="2:21" ht="12.75">
      <c r="B12" s="382" t="s">
        <v>14</v>
      </c>
      <c r="C12" s="381">
        <v>966</v>
      </c>
      <c r="D12" s="381">
        <v>908.0870900000326</v>
      </c>
      <c r="E12" s="378">
        <v>1.063774621000245</v>
      </c>
      <c r="F12" s="383">
        <v>30.518544</v>
      </c>
      <c r="G12" s="383">
        <v>33.3270202224599</v>
      </c>
      <c r="H12" s="378">
        <v>0.9157297531038433</v>
      </c>
      <c r="I12" s="381">
        <v>1872571.4053500043</v>
      </c>
      <c r="J12" s="378">
        <v>0.03404310968827554</v>
      </c>
      <c r="K12" s="383">
        <v>77990.62309988837</v>
      </c>
      <c r="L12" s="378">
        <v>0.008890799330299117</v>
      </c>
      <c r="M12" s="384">
        <v>0.001413837179244014</v>
      </c>
      <c r="U12" s="381"/>
    </row>
    <row r="13" spans="2:21" ht="12.75">
      <c r="B13" s="382" t="s">
        <v>15</v>
      </c>
      <c r="C13" s="381">
        <v>2177</v>
      </c>
      <c r="D13" s="381">
        <v>1775.5235500000438</v>
      </c>
      <c r="E13" s="378">
        <v>1.2261172204671384</v>
      </c>
      <c r="F13" s="383">
        <v>71.416538</v>
      </c>
      <c r="G13" s="383">
        <v>71.05278157956975</v>
      </c>
      <c r="H13" s="378">
        <v>1.0051195239981265</v>
      </c>
      <c r="I13" s="381">
        <v>2677596.71733</v>
      </c>
      <c r="J13" s="378">
        <v>0.048678367344819125</v>
      </c>
      <c r="K13" s="383">
        <v>116195.23853783369</v>
      </c>
      <c r="L13" s="378">
        <v>0.013246060973932603</v>
      </c>
      <c r="M13" s="384">
        <v>0.0030142828136251873</v>
      </c>
      <c r="U13" s="381"/>
    </row>
    <row r="14" spans="2:21" ht="12.75">
      <c r="B14" s="385" t="s">
        <v>16</v>
      </c>
      <c r="C14" s="381">
        <v>4057</v>
      </c>
      <c r="D14" s="381">
        <v>4079.1900300002044</v>
      </c>
      <c r="E14" s="378">
        <v>0.994560187233983</v>
      </c>
      <c r="F14" s="383">
        <v>193.406333</v>
      </c>
      <c r="G14" s="383">
        <v>238.36693835512008</v>
      </c>
      <c r="H14" s="378">
        <v>0.8113806987438099</v>
      </c>
      <c r="I14" s="381">
        <v>4393503.739499972</v>
      </c>
      <c r="J14" s="378">
        <v>0.0798733384971722</v>
      </c>
      <c r="K14" s="383">
        <v>329529.6335590078</v>
      </c>
      <c r="L14" s="378">
        <v>0.037565821747670244</v>
      </c>
      <c r="M14" s="384">
        <v>0.010112276390132053</v>
      </c>
      <c r="U14" s="381"/>
    </row>
    <row r="15" spans="2:21" ht="12.75">
      <c r="B15" s="385" t="s">
        <v>17</v>
      </c>
      <c r="C15" s="381">
        <v>6133</v>
      </c>
      <c r="D15" s="381">
        <v>7652.954829999427</v>
      </c>
      <c r="E15" s="378">
        <v>0.8013898077587973</v>
      </c>
      <c r="F15" s="383">
        <v>484.350076</v>
      </c>
      <c r="G15" s="383">
        <v>715.1025247093454</v>
      </c>
      <c r="H15" s="378">
        <v>0.6773155726122837</v>
      </c>
      <c r="I15" s="381">
        <v>6250440.622999901</v>
      </c>
      <c r="J15" s="378">
        <v>0.11363221456917803</v>
      </c>
      <c r="K15" s="383">
        <v>881117.9419817127</v>
      </c>
      <c r="L15" s="378">
        <v>0.10044595743839826</v>
      </c>
      <c r="M15" s="384">
        <v>0.030336901698879457</v>
      </c>
      <c r="U15" s="381"/>
    </row>
    <row r="16" spans="2:21" ht="12.75">
      <c r="B16" s="385" t="s">
        <v>18</v>
      </c>
      <c r="C16" s="381">
        <v>9932</v>
      </c>
      <c r="D16" s="381">
        <v>13571.075819999522</v>
      </c>
      <c r="E16" s="378">
        <v>0.7318506013622986</v>
      </c>
      <c r="F16" s="383">
        <v>1077.313623</v>
      </c>
      <c r="G16" s="383">
        <v>1637.6902096255171</v>
      </c>
      <c r="H16" s="378">
        <v>0.6578250371578788</v>
      </c>
      <c r="I16" s="381">
        <v>7966039.94538001</v>
      </c>
      <c r="J16" s="378">
        <v>0.14482159177853515</v>
      </c>
      <c r="K16" s="383">
        <v>1643686.3453050647</v>
      </c>
      <c r="L16" s="378">
        <v>0.1873774676648402</v>
      </c>
      <c r="M16" s="384">
        <v>0.06947597748004053</v>
      </c>
      <c r="U16" s="381"/>
    </row>
    <row r="17" spans="2:21" ht="12.75">
      <c r="B17" s="385" t="s">
        <v>19</v>
      </c>
      <c r="C17" s="381">
        <v>13990</v>
      </c>
      <c r="D17" s="381">
        <v>19476.525709999052</v>
      </c>
      <c r="E17" s="378">
        <v>0.7183005946906472</v>
      </c>
      <c r="F17" s="383">
        <v>1537.7248969999998</v>
      </c>
      <c r="G17" s="383">
        <v>2498.4400498325904</v>
      </c>
      <c r="H17" s="378">
        <v>0.6154740023091754</v>
      </c>
      <c r="I17" s="381">
        <v>7645757.518849986</v>
      </c>
      <c r="J17" s="378">
        <v>0.13899889805030816</v>
      </c>
      <c r="K17" s="383">
        <v>1806033.2217294534</v>
      </c>
      <c r="L17" s="378">
        <v>0.20588473742137808</v>
      </c>
      <c r="M17" s="384">
        <v>0.10599169709703062</v>
      </c>
      <c r="U17" s="381"/>
    </row>
    <row r="18" spans="2:21" ht="12.75">
      <c r="B18" s="385" t="s">
        <v>20</v>
      </c>
      <c r="C18" s="381">
        <v>38899</v>
      </c>
      <c r="D18" s="381">
        <v>52912.60593999782</v>
      </c>
      <c r="E18" s="378">
        <v>0.7351556270751612</v>
      </c>
      <c r="F18" s="383">
        <v>3765.102998</v>
      </c>
      <c r="G18" s="383">
        <v>6090.719585754331</v>
      </c>
      <c r="H18" s="378">
        <v>0.6181704714835751</v>
      </c>
      <c r="I18" s="381">
        <v>10728850.731719911</v>
      </c>
      <c r="J18" s="378">
        <v>0.1950491400464423</v>
      </c>
      <c r="K18" s="383">
        <v>2400770.346702626</v>
      </c>
      <c r="L18" s="378">
        <v>0.2736837653332742</v>
      </c>
      <c r="M18" s="384">
        <v>0.25838751083080075</v>
      </c>
      <c r="U18" s="381"/>
    </row>
    <row r="19" spans="2:21" ht="12.75">
      <c r="B19" s="385" t="s">
        <v>21</v>
      </c>
      <c r="C19" s="381">
        <v>55004</v>
      </c>
      <c r="D19" s="381">
        <v>70151.76429999848</v>
      </c>
      <c r="E19" s="378">
        <v>0.784071513366075</v>
      </c>
      <c r="F19" s="383">
        <v>3697.8812199999998</v>
      </c>
      <c r="G19" s="383">
        <v>5844.478261536823</v>
      </c>
      <c r="H19" s="378">
        <v>0.6327136580071102</v>
      </c>
      <c r="I19" s="381">
        <v>5397877.916979975</v>
      </c>
      <c r="J19" s="378">
        <v>0.09813273314259688</v>
      </c>
      <c r="K19" s="383">
        <v>969036.3273696037</v>
      </c>
      <c r="L19" s="378">
        <v>0.11046850490447639</v>
      </c>
      <c r="M19" s="384">
        <v>0.2479411781877651</v>
      </c>
      <c r="U19" s="381"/>
    </row>
    <row r="20" spans="2:21" ht="12.75">
      <c r="B20" s="385" t="s">
        <v>22</v>
      </c>
      <c r="C20" s="381">
        <v>57847</v>
      </c>
      <c r="D20" s="381">
        <v>67162.08123999977</v>
      </c>
      <c r="E20" s="378">
        <v>0.8613044582893007</v>
      </c>
      <c r="F20" s="383">
        <v>2882.495903</v>
      </c>
      <c r="G20" s="383">
        <v>3995.0314357094044</v>
      </c>
      <c r="H20" s="378">
        <v>0.7215202056321618</v>
      </c>
      <c r="I20" s="381">
        <v>2066496.9218300036</v>
      </c>
      <c r="J20" s="378">
        <v>0.0375686508826046</v>
      </c>
      <c r="K20" s="383">
        <v>253713.08013920634</v>
      </c>
      <c r="L20" s="378">
        <v>0.028922862689540564</v>
      </c>
      <c r="M20" s="384">
        <v>0.1694818180068797</v>
      </c>
      <c r="U20" s="381"/>
    </row>
    <row r="21" spans="2:21" ht="12.75">
      <c r="B21" s="385" t="s">
        <v>23</v>
      </c>
      <c r="C21" s="381">
        <v>16796</v>
      </c>
      <c r="D21" s="381">
        <v>17795.78892000002</v>
      </c>
      <c r="E21" s="378">
        <v>0.9438187919347372</v>
      </c>
      <c r="F21" s="383">
        <v>1496.384051</v>
      </c>
      <c r="G21" s="383">
        <v>1799.5916349318913</v>
      </c>
      <c r="H21" s="378">
        <v>0.8315131177283079</v>
      </c>
      <c r="I21" s="381">
        <v>373049.5858399995</v>
      </c>
      <c r="J21" s="378">
        <v>0.006781993964894032</v>
      </c>
      <c r="K21" s="383">
        <v>69344.70415827712</v>
      </c>
      <c r="L21" s="378">
        <v>0.00790517917135455</v>
      </c>
      <c r="M21" s="384">
        <v>0.07634434593731072</v>
      </c>
      <c r="U21" s="381"/>
    </row>
    <row r="22" spans="2:21" ht="12.75">
      <c r="B22" s="386" t="s">
        <v>24</v>
      </c>
      <c r="C22" s="387">
        <v>1448</v>
      </c>
      <c r="D22" s="387">
        <v>1740.7283200000056</v>
      </c>
      <c r="E22" s="388">
        <v>0.8318357226474005</v>
      </c>
      <c r="F22" s="389">
        <v>348.860297</v>
      </c>
      <c r="G22" s="389">
        <v>579.8110497813699</v>
      </c>
      <c r="H22" s="388">
        <v>0.6016792835037297</v>
      </c>
      <c r="I22" s="387">
        <v>30067.531269999956</v>
      </c>
      <c r="J22" s="388">
        <v>0.0005466238895648108</v>
      </c>
      <c r="K22" s="389">
        <v>14070.122689661337</v>
      </c>
      <c r="L22" s="388">
        <v>0.0016039702263469476</v>
      </c>
      <c r="M22" s="390">
        <v>0.02459741115903747</v>
      </c>
      <c r="U22" s="381"/>
    </row>
    <row r="23" spans="2:21" ht="12.75">
      <c r="B23" s="36"/>
      <c r="C23" s="381"/>
      <c r="D23" s="381"/>
      <c r="E23" s="378"/>
      <c r="F23" s="391"/>
      <c r="G23" s="391"/>
      <c r="H23" s="378"/>
      <c r="I23" s="381"/>
      <c r="J23" s="378"/>
      <c r="K23" s="391"/>
      <c r="L23" s="378"/>
      <c r="M23" s="378"/>
      <c r="U23" s="309"/>
    </row>
    <row r="24" spans="1:21" ht="12.75">
      <c r="A24" s="23" t="s">
        <v>25</v>
      </c>
      <c r="B24" s="392" t="s">
        <v>27</v>
      </c>
      <c r="C24" s="232">
        <v>122109</v>
      </c>
      <c r="D24" s="232">
        <v>152835.81767000348</v>
      </c>
      <c r="E24" s="233">
        <v>0.7989553879552795</v>
      </c>
      <c r="F24" s="234">
        <v>11220.323793</v>
      </c>
      <c r="G24" s="234">
        <v>17234.035960842724</v>
      </c>
      <c r="H24" s="233">
        <v>0.6510560740672459</v>
      </c>
      <c r="I24" s="232">
        <v>30090541.591879863</v>
      </c>
      <c r="J24" s="233">
        <v>0.5470422142863579</v>
      </c>
      <c r="K24" s="234">
        <v>5901191.040090067</v>
      </c>
      <c r="L24" s="233">
        <v>0.6727258132045237</v>
      </c>
      <c r="M24" s="380">
        <v>0.7311220933411517</v>
      </c>
      <c r="N24" s="393"/>
      <c r="O24" s="394">
        <v>86980</v>
      </c>
      <c r="P24" s="395">
        <v>106475.42570998742</v>
      </c>
      <c r="Q24" s="395">
        <f>(1/1000000)*4417137810</f>
        <v>4417.13781</v>
      </c>
      <c r="R24" s="395">
        <f>(1/1000000)*6337999568.93401</f>
        <v>6337.999568934009</v>
      </c>
      <c r="S24" s="395">
        <v>24915344.25394002</v>
      </c>
      <c r="T24" s="395">
        <f>(1/1000000)*2870868726696.38</f>
        <v>2870868.72669638</v>
      </c>
      <c r="U24" s="309"/>
    </row>
    <row r="25" spans="2:21" ht="12.75">
      <c r="B25" s="396" t="s">
        <v>26</v>
      </c>
      <c r="C25" s="387">
        <v>86980</v>
      </c>
      <c r="D25" s="387">
        <v>106475.42570998742</v>
      </c>
      <c r="E25" s="388">
        <v>0.8169021106984056</v>
      </c>
      <c r="F25" s="389">
        <v>4417.13781</v>
      </c>
      <c r="G25" s="389">
        <v>6337.999568934011</v>
      </c>
      <c r="H25" s="388">
        <v>0.6969293326637003</v>
      </c>
      <c r="I25" s="387">
        <v>24915344.25394002</v>
      </c>
      <c r="J25" s="388">
        <v>0.45295778571364476</v>
      </c>
      <c r="K25" s="389">
        <v>2870868.726696384</v>
      </c>
      <c r="L25" s="388">
        <v>0.32727418679548187</v>
      </c>
      <c r="M25" s="390">
        <v>0.26887790665882777</v>
      </c>
      <c r="N25" s="393"/>
      <c r="O25" s="309">
        <v>122109</v>
      </c>
      <c r="P25" s="309">
        <v>152835.81767000348</v>
      </c>
      <c r="Q25" s="311">
        <f>(1/1000000)*11220323793</f>
        <v>11220.323793</v>
      </c>
      <c r="R25" s="311">
        <f>(1/1000000)*17234035960.8427</f>
        <v>17234.0359608427</v>
      </c>
      <c r="S25" s="311">
        <v>30090541.591879863</v>
      </c>
      <c r="T25" s="311">
        <f>(1/1000000)*5901191040090.07</f>
        <v>5901191.04009007</v>
      </c>
      <c r="U25" s="309"/>
    </row>
    <row r="26" spans="2:21" ht="12.75">
      <c r="B26" s="36"/>
      <c r="C26" s="381"/>
      <c r="D26" s="381"/>
      <c r="E26" s="378"/>
      <c r="F26" s="383"/>
      <c r="G26" s="383"/>
      <c r="H26" s="378"/>
      <c r="I26" s="381"/>
      <c r="J26" s="378"/>
      <c r="K26" s="391"/>
      <c r="L26" s="378"/>
      <c r="M26" s="378"/>
      <c r="N26" s="393"/>
      <c r="O26" s="309"/>
      <c r="P26" s="309"/>
      <c r="U26" s="309"/>
    </row>
    <row r="27" spans="1:21" ht="12.75">
      <c r="A27" s="23" t="s">
        <v>28</v>
      </c>
      <c r="B27" s="397" t="s">
        <v>29</v>
      </c>
      <c r="C27" s="232">
        <v>1626</v>
      </c>
      <c r="D27" s="232">
        <v>2033.303680000063</v>
      </c>
      <c r="E27" s="233">
        <v>0.7996837934213298</v>
      </c>
      <c r="F27" s="234">
        <v>418.75771599999996</v>
      </c>
      <c r="G27" s="234">
        <v>798.2270641975965</v>
      </c>
      <c r="H27" s="233">
        <v>0.5246097693028595</v>
      </c>
      <c r="I27" s="232">
        <v>3315880.900639992</v>
      </c>
      <c r="J27" s="233">
        <v>0.060282292515647</v>
      </c>
      <c r="K27" s="234">
        <v>1101940.330083641</v>
      </c>
      <c r="L27" s="233">
        <v>0.12561933677833695</v>
      </c>
      <c r="M27" s="380">
        <f>+G27/$G$8</f>
        <v>0.03386330650949688</v>
      </c>
      <c r="N27" s="393"/>
      <c r="O27" s="309">
        <v>1626</v>
      </c>
      <c r="P27" s="309">
        <v>2033.303680000063</v>
      </c>
      <c r="Q27" s="311">
        <f>(1/1000000)*418757716</f>
        <v>418.75771599999996</v>
      </c>
      <c r="R27" s="311">
        <f>(1/1000000)*798227064.197597</f>
        <v>798.227064197597</v>
      </c>
      <c r="S27" s="311">
        <v>3315880.900639992</v>
      </c>
      <c r="T27" s="311">
        <f>(1/1000000)*1101940330083.64</f>
        <v>1101940.3300836398</v>
      </c>
      <c r="U27" s="309"/>
    </row>
    <row r="28" spans="2:21" ht="12.75">
      <c r="B28" s="398" t="s">
        <v>30</v>
      </c>
      <c r="C28" s="381">
        <v>2186</v>
      </c>
      <c r="D28" s="381">
        <v>2751.6939400001247</v>
      </c>
      <c r="E28" s="378">
        <v>0.7944197456785114</v>
      </c>
      <c r="F28" s="383">
        <v>569.598333</v>
      </c>
      <c r="G28" s="383">
        <v>1000.2953615156285</v>
      </c>
      <c r="H28" s="378">
        <v>0.5694301452492546</v>
      </c>
      <c r="I28" s="381">
        <v>3141243.2901699585</v>
      </c>
      <c r="J28" s="378">
        <v>0.05710740299637739</v>
      </c>
      <c r="K28" s="383">
        <v>1006204.4243286913</v>
      </c>
      <c r="L28" s="378">
        <v>0.11470560519189314</v>
      </c>
      <c r="M28" s="384">
        <f aca="true" t="shared" si="0" ref="M28:M49">+G28/$G$8</f>
        <v>0.042435680204707484</v>
      </c>
      <c r="N28" s="393"/>
      <c r="O28" s="309">
        <v>2186</v>
      </c>
      <c r="P28" s="309">
        <v>2751.6939400001247</v>
      </c>
      <c r="Q28" s="311">
        <f>(1/1000000)*569598333</f>
        <v>569.598333</v>
      </c>
      <c r="R28" s="311">
        <f>(1/1000000)*1000295361.51563</f>
        <v>1000.2953615156299</v>
      </c>
      <c r="S28" s="311">
        <v>3141243.2901699585</v>
      </c>
      <c r="T28" s="311">
        <f>(1/1000000)*1006204424328.69</f>
        <v>1006204.4243286899</v>
      </c>
      <c r="U28" s="309"/>
    </row>
    <row r="29" spans="2:21" ht="12.75">
      <c r="B29" s="398" t="s">
        <v>31</v>
      </c>
      <c r="C29" s="381">
        <v>3035</v>
      </c>
      <c r="D29" s="381">
        <v>3396.0233000000408</v>
      </c>
      <c r="E29" s="378">
        <v>0.8936923371520931</v>
      </c>
      <c r="F29" s="383">
        <v>795.538546</v>
      </c>
      <c r="G29" s="383">
        <v>1124.662438834991</v>
      </c>
      <c r="H29" s="378">
        <v>0.7073576199664656</v>
      </c>
      <c r="I29" s="381">
        <v>3031859.721380005</v>
      </c>
      <c r="J29" s="378">
        <v>0.055118823645132084</v>
      </c>
      <c r="K29" s="383">
        <v>934699.5815992084</v>
      </c>
      <c r="L29" s="378">
        <v>0.10655417387125608</v>
      </c>
      <c r="M29" s="384">
        <f t="shared" si="0"/>
        <v>0.04771172338571561</v>
      </c>
      <c r="N29" s="393"/>
      <c r="O29" s="309">
        <v>3035</v>
      </c>
      <c r="P29" s="309">
        <v>3396.0233000000408</v>
      </c>
      <c r="Q29" s="311">
        <f>(1/1000000)*795538546</f>
        <v>795.538546</v>
      </c>
      <c r="R29" s="311">
        <f>(1/1000000)*1124662438.83499</f>
        <v>1124.6624388349899</v>
      </c>
      <c r="S29" s="311">
        <v>3031859.721380005</v>
      </c>
      <c r="T29" s="311">
        <f>(1/1000000)*934699581599.208</f>
        <v>934699.581599208</v>
      </c>
      <c r="U29" s="309"/>
    </row>
    <row r="30" spans="2:21" ht="12.75">
      <c r="B30" s="398" t="s">
        <v>32</v>
      </c>
      <c r="C30" s="381">
        <v>6884</v>
      </c>
      <c r="D30" s="381">
        <v>8191.771149999067</v>
      </c>
      <c r="E30" s="378">
        <v>0.8403555072459249</v>
      </c>
      <c r="F30" s="383">
        <v>1525.813713</v>
      </c>
      <c r="G30" s="383">
        <v>2218.2709425848752</v>
      </c>
      <c r="H30" s="378">
        <v>0.6878392011131073</v>
      </c>
      <c r="I30" s="381">
        <v>5770714.251899935</v>
      </c>
      <c r="J30" s="378">
        <v>0.10491085023292086</v>
      </c>
      <c r="K30" s="383">
        <v>1521739.3697746387</v>
      </c>
      <c r="L30" s="378">
        <v>0.17347571838673415</v>
      </c>
      <c r="M30" s="384">
        <f t="shared" si="0"/>
        <v>0.09410604102402013</v>
      </c>
      <c r="N30" s="393"/>
      <c r="O30" s="309">
        <v>6884</v>
      </c>
      <c r="P30" s="309">
        <v>8191.771149999067</v>
      </c>
      <c r="Q30" s="311">
        <f>(1/1000000)*1525813713</f>
        <v>1525.813713</v>
      </c>
      <c r="R30" s="311">
        <f>(1/1000000)*2218270942.58488</f>
        <v>2218.27094258488</v>
      </c>
      <c r="S30" s="311">
        <v>5770714.251899935</v>
      </c>
      <c r="T30" s="311">
        <f>(1/1000000)*1521739369774.64</f>
        <v>1521739.3697746398</v>
      </c>
      <c r="U30" s="309"/>
    </row>
    <row r="31" spans="2:21" ht="12.75">
      <c r="B31" s="398" t="s">
        <v>33</v>
      </c>
      <c r="C31" s="381">
        <v>22964</v>
      </c>
      <c r="D31" s="381">
        <v>28327.667009997247</v>
      </c>
      <c r="E31" s="378">
        <v>0.8106562390717057</v>
      </c>
      <c r="F31" s="383">
        <v>3350.4043899999997</v>
      </c>
      <c r="G31" s="383">
        <v>5281.129218148153</v>
      </c>
      <c r="H31" s="378">
        <v>0.6344106064450419</v>
      </c>
      <c r="I31" s="381">
        <v>11781608.800500195</v>
      </c>
      <c r="J31" s="378">
        <v>0.21418814767430128</v>
      </c>
      <c r="K31" s="383">
        <v>2159110.12294311</v>
      </c>
      <c r="L31" s="378">
        <v>0.24613490791730988</v>
      </c>
      <c r="M31" s="384">
        <f t="shared" si="0"/>
        <v>0.22404213719586505</v>
      </c>
      <c r="N31" s="393"/>
      <c r="O31" s="309">
        <v>22964</v>
      </c>
      <c r="P31" s="309">
        <v>28327.667009997247</v>
      </c>
      <c r="Q31" s="311">
        <f>(1/1000000)*3350404390</f>
        <v>3350.4043899999997</v>
      </c>
      <c r="R31" s="311">
        <f>(1/1000000)*5281129218.14815</f>
        <v>5281.12921814815</v>
      </c>
      <c r="S31" s="311">
        <v>11781608.800500195</v>
      </c>
      <c r="T31" s="311">
        <f>(1/1000000)*2159110122943.11</f>
        <v>2159110.12294311</v>
      </c>
      <c r="U31" s="309"/>
    </row>
    <row r="32" spans="2:21" ht="12.75">
      <c r="B32" s="398" t="s">
        <v>34</v>
      </c>
      <c r="C32" s="381">
        <v>39155</v>
      </c>
      <c r="D32" s="381">
        <v>49673.956249999384</v>
      </c>
      <c r="E32" s="378">
        <v>0.7882400146052487</v>
      </c>
      <c r="F32" s="383">
        <v>3021.4760469999997</v>
      </c>
      <c r="G32" s="383">
        <v>4479.081119761462</v>
      </c>
      <c r="H32" s="378">
        <v>0.6745749778161891</v>
      </c>
      <c r="I32" s="381">
        <v>10002152.092760082</v>
      </c>
      <c r="J32" s="378">
        <v>0.18183785133096284</v>
      </c>
      <c r="K32" s="383">
        <v>981962.7852805273</v>
      </c>
      <c r="L32" s="378">
        <v>0.11194209927735868</v>
      </c>
      <c r="M32" s="384">
        <f t="shared" si="0"/>
        <v>0.19001673037966077</v>
      </c>
      <c r="N32" s="393"/>
      <c r="O32" s="309">
        <v>39155</v>
      </c>
      <c r="P32" s="309">
        <v>49673.956249999384</v>
      </c>
      <c r="Q32" s="311">
        <f>(1/1000000)*3021476047</f>
        <v>3021.4760469999997</v>
      </c>
      <c r="R32" s="311">
        <f>(1/1000000)*4479081119.76146</f>
        <v>4479.08111976146</v>
      </c>
      <c r="S32" s="311">
        <v>10002152.092760082</v>
      </c>
      <c r="T32" s="311">
        <f>(1/1000000)*981962785280.527</f>
        <v>981962.785280527</v>
      </c>
      <c r="U32" s="309"/>
    </row>
    <row r="33" spans="2:21" ht="12.75">
      <c r="B33" s="399" t="s">
        <v>35</v>
      </c>
      <c r="C33" s="381">
        <v>65633</v>
      </c>
      <c r="D33" s="381">
        <v>84992.91137999887</v>
      </c>
      <c r="E33" s="378">
        <v>0.7722173406504254</v>
      </c>
      <c r="F33" s="383">
        <v>3656.479156</v>
      </c>
      <c r="G33" s="383">
        <v>5410.445970788874</v>
      </c>
      <c r="H33" s="378">
        <v>0.6758184400586232</v>
      </c>
      <c r="I33" s="381">
        <v>10458551.82805022</v>
      </c>
      <c r="J33" s="378">
        <v>0.19013514039870763</v>
      </c>
      <c r="K33" s="383">
        <v>737774.4232175003</v>
      </c>
      <c r="L33" s="378">
        <v>0.08410503836407171</v>
      </c>
      <c r="M33" s="384">
        <f t="shared" si="0"/>
        <v>0.22952816119567457</v>
      </c>
      <c r="N33" s="393"/>
      <c r="O33" s="309">
        <v>65633</v>
      </c>
      <c r="P33" s="309">
        <v>84992.91137999887</v>
      </c>
      <c r="Q33" s="311">
        <f>(1/1000000)*3656479156</f>
        <v>3656.479156</v>
      </c>
      <c r="R33" s="311">
        <f>(1/1000000)*5410445970.78887</f>
        <v>5410.44597078887</v>
      </c>
      <c r="S33" s="311">
        <v>10458551.82805022</v>
      </c>
      <c r="T33" s="311">
        <f>(1/1000000)*737774423217.5</f>
        <v>737774.4232175</v>
      </c>
      <c r="U33" s="309"/>
    </row>
    <row r="34" spans="2:21" ht="12.75">
      <c r="B34" s="396" t="s">
        <v>36</v>
      </c>
      <c r="C34" s="387">
        <v>67606</v>
      </c>
      <c r="D34" s="387">
        <v>79943.91667000041</v>
      </c>
      <c r="E34" s="388">
        <v>0.845667848362622</v>
      </c>
      <c r="F34" s="389">
        <v>2299.393702</v>
      </c>
      <c r="G34" s="389">
        <v>3259.9234139455552</v>
      </c>
      <c r="H34" s="388">
        <v>0.7053520620035041</v>
      </c>
      <c r="I34" s="387">
        <v>7503874.960420054</v>
      </c>
      <c r="J34" s="388">
        <v>0.1364194912059638</v>
      </c>
      <c r="K34" s="389">
        <v>328628.72955911333</v>
      </c>
      <c r="L34" s="388">
        <v>0.03746312021304259</v>
      </c>
      <c r="M34" s="390">
        <f t="shared" si="0"/>
        <v>0.13829622010485595</v>
      </c>
      <c r="N34" s="393"/>
      <c r="O34" s="309">
        <v>67606</v>
      </c>
      <c r="P34" s="309">
        <v>79943.91667000041</v>
      </c>
      <c r="Q34" s="311">
        <f>(1/1000000)*2299393702</f>
        <v>2299.393702</v>
      </c>
      <c r="R34" s="311">
        <f>(1/1000000)*3259923413.94556</f>
        <v>3259.92341394556</v>
      </c>
      <c r="S34" s="311">
        <v>7503874.960420054</v>
      </c>
      <c r="T34" s="311">
        <f>(1/1000000)*328628729559.113</f>
        <v>328628.729559113</v>
      </c>
      <c r="U34" s="309"/>
    </row>
    <row r="35" spans="2:21" ht="12.75">
      <c r="B35" s="36"/>
      <c r="C35" s="381"/>
      <c r="D35" s="381"/>
      <c r="E35" s="378"/>
      <c r="F35" s="391"/>
      <c r="G35" s="391"/>
      <c r="H35" s="378"/>
      <c r="I35" s="381"/>
      <c r="J35" s="378"/>
      <c r="K35" s="391"/>
      <c r="L35" s="378"/>
      <c r="M35" s="378"/>
      <c r="N35" s="393"/>
      <c r="O35" s="309"/>
      <c r="P35" s="309"/>
      <c r="U35" s="309"/>
    </row>
    <row r="36" spans="1:21" ht="12.75">
      <c r="A36" s="23" t="s">
        <v>37</v>
      </c>
      <c r="B36" s="400" t="s">
        <v>38</v>
      </c>
      <c r="C36" s="232">
        <v>43024</v>
      </c>
      <c r="D36" s="232">
        <v>44000.94969999946</v>
      </c>
      <c r="E36" s="233">
        <v>0.9777970769571942</v>
      </c>
      <c r="F36" s="234">
        <v>207.239927</v>
      </c>
      <c r="G36" s="234">
        <v>214.24781214356173</v>
      </c>
      <c r="H36" s="233">
        <v>0.9672907504937976</v>
      </c>
      <c r="I36" s="232">
        <v>2085792.3452399918</v>
      </c>
      <c r="J36" s="233">
        <v>0.03791943922303917</v>
      </c>
      <c r="K36" s="234">
        <v>10539.043536168478</v>
      </c>
      <c r="L36" s="233">
        <v>0.001201433165796749</v>
      </c>
      <c r="M36" s="380">
        <f t="shared" si="0"/>
        <v>0.009089067080054015</v>
      </c>
      <c r="N36" s="393"/>
      <c r="O36" s="309">
        <v>43024</v>
      </c>
      <c r="P36" s="309">
        <v>44000.94969999946</v>
      </c>
      <c r="Q36" s="311">
        <f>(1/1000000)*207239927</f>
        <v>207.239927</v>
      </c>
      <c r="R36" s="311">
        <f>(1/1000000)*214247812.143562</f>
        <v>214.247812143562</v>
      </c>
      <c r="S36" s="311">
        <v>2085792.3452399918</v>
      </c>
      <c r="T36" s="311">
        <f>(1/1000000)*10539043536.1685</f>
        <v>10539.043536168501</v>
      </c>
      <c r="U36" s="309"/>
    </row>
    <row r="37" spans="2:21" ht="12.75">
      <c r="B37" s="385" t="s">
        <v>39</v>
      </c>
      <c r="C37" s="381">
        <v>46597</v>
      </c>
      <c r="D37" s="381">
        <v>52177.80915999907</v>
      </c>
      <c r="E37" s="378">
        <v>0.8930424782135645</v>
      </c>
      <c r="F37" s="383">
        <v>573.6883849999999</v>
      </c>
      <c r="G37" s="383">
        <v>649.2470173812878</v>
      </c>
      <c r="H37" s="378">
        <v>0.8836211328531771</v>
      </c>
      <c r="I37" s="381">
        <v>7449314.81516999</v>
      </c>
      <c r="J37" s="378">
        <v>0.13542759471323218</v>
      </c>
      <c r="K37" s="383">
        <v>97308.84730769362</v>
      </c>
      <c r="L37" s="378">
        <v>0.011093044267223707</v>
      </c>
      <c r="M37" s="384">
        <f t="shared" si="0"/>
        <v>0.027543103630619035</v>
      </c>
      <c r="N37" s="393"/>
      <c r="O37" s="309">
        <v>46597</v>
      </c>
      <c r="P37" s="309">
        <v>52177.80915999907</v>
      </c>
      <c r="Q37" s="311">
        <f>(1/1000000)*573688385</f>
        <v>573.6883849999999</v>
      </c>
      <c r="R37" s="311">
        <f>(1/1000000)*649247017.381288</f>
        <v>649.2470173812881</v>
      </c>
      <c r="S37" s="309">
        <v>7449314.81516999</v>
      </c>
      <c r="T37" s="311">
        <f>(1/1000000)*97308847307.6936</f>
        <v>97308.8473076936</v>
      </c>
      <c r="U37" s="309"/>
    </row>
    <row r="38" spans="2:21" ht="12.75">
      <c r="B38" s="385" t="s">
        <v>40</v>
      </c>
      <c r="C38" s="381">
        <v>35793</v>
      </c>
      <c r="D38" s="381">
        <v>43720.64719999832</v>
      </c>
      <c r="E38" s="378">
        <v>0.8186749806393848</v>
      </c>
      <c r="F38" s="383">
        <v>1034.760335</v>
      </c>
      <c r="G38" s="383">
        <v>1269.3095486790867</v>
      </c>
      <c r="H38" s="378">
        <v>0.8152151191778463</v>
      </c>
      <c r="I38" s="381">
        <v>8442338.401040006</v>
      </c>
      <c r="J38" s="378">
        <v>0.1534806370486186</v>
      </c>
      <c r="K38" s="383">
        <v>236989.4335686519</v>
      </c>
      <c r="L38" s="378">
        <v>0.02701639522178857</v>
      </c>
      <c r="M38" s="384">
        <f t="shared" si="0"/>
        <v>0.053848109429312535</v>
      </c>
      <c r="N38" s="393"/>
      <c r="O38" s="401">
        <v>35793</v>
      </c>
      <c r="P38" s="401">
        <v>43720.64719999832</v>
      </c>
      <c r="Q38" s="311">
        <f>(1/1000000)*1034760335</f>
        <v>1034.760335</v>
      </c>
      <c r="R38" s="311">
        <f>(1/1000000)*1269309548.67909</f>
        <v>1269.3095486790899</v>
      </c>
      <c r="S38" s="401">
        <v>8442338.401040006</v>
      </c>
      <c r="T38" s="311">
        <f>(1/1000000)*236989433568.652</f>
        <v>236989.433568652</v>
      </c>
      <c r="U38" s="309"/>
    </row>
    <row r="39" spans="2:21" ht="12.75">
      <c r="B39" s="385" t="s">
        <v>41</v>
      </c>
      <c r="C39" s="381">
        <v>38640</v>
      </c>
      <c r="D39" s="381">
        <v>51260.02366999782</v>
      </c>
      <c r="E39" s="378">
        <v>0.7538037876992975</v>
      </c>
      <c r="F39" s="383">
        <v>2195.335109</v>
      </c>
      <c r="G39" s="383">
        <v>2916.817497569638</v>
      </c>
      <c r="H39" s="378">
        <v>0.7526474010901285</v>
      </c>
      <c r="I39" s="381">
        <v>11467266.740280176</v>
      </c>
      <c r="J39" s="378">
        <v>0.20847344904911935</v>
      </c>
      <c r="K39" s="383">
        <v>637174.6085507936</v>
      </c>
      <c r="L39" s="378">
        <v>0.07263682937539072</v>
      </c>
      <c r="M39" s="384">
        <f t="shared" si="0"/>
        <v>0.12374058633523556</v>
      </c>
      <c r="N39" s="393"/>
      <c r="O39" s="401">
        <v>38640</v>
      </c>
      <c r="P39" s="401">
        <v>51260.02366999782</v>
      </c>
      <c r="Q39" s="311">
        <f>(1/1000000)*2195335109</f>
        <v>2195.335109</v>
      </c>
      <c r="R39" s="311">
        <f>(1/1000000)*2916817497.56964</f>
        <v>2916.81749756964</v>
      </c>
      <c r="S39" s="401">
        <v>11467266.740280176</v>
      </c>
      <c r="T39" s="311">
        <f>(1/1000000)*637174608550.794</f>
        <v>637174.608550794</v>
      </c>
      <c r="U39" s="309"/>
    </row>
    <row r="40" spans="2:20" ht="12.75">
      <c r="B40" s="385" t="s">
        <v>42</v>
      </c>
      <c r="C40" s="381">
        <v>31933</v>
      </c>
      <c r="D40" s="381">
        <v>46697.1640899973</v>
      </c>
      <c r="E40" s="378">
        <v>0.6838316763402804</v>
      </c>
      <c r="F40" s="383">
        <v>3950.67722</v>
      </c>
      <c r="G40" s="383">
        <v>5840.113502647532</v>
      </c>
      <c r="H40" s="378">
        <v>0.6764726778356306</v>
      </c>
      <c r="I40" s="381">
        <v>14699380.89994029</v>
      </c>
      <c r="J40" s="378">
        <v>0.26723287288095543</v>
      </c>
      <c r="K40" s="383">
        <v>1835117.3382065105</v>
      </c>
      <c r="L40" s="378">
        <v>0.20920027758529466</v>
      </c>
      <c r="M40" s="384">
        <f t="shared" si="0"/>
        <v>0.24775601136652145</v>
      </c>
      <c r="N40" s="393"/>
      <c r="O40" s="401">
        <v>31933</v>
      </c>
      <c r="P40" s="401">
        <v>46697.1640899973</v>
      </c>
      <c r="Q40" s="311">
        <f>(1/1000000)*3950677220</f>
        <v>3950.67722</v>
      </c>
      <c r="R40" s="311">
        <f>(1/1000000)*5840113502.64753</f>
        <v>5840.1135026475295</v>
      </c>
      <c r="S40" s="401">
        <v>14699380.89994029</v>
      </c>
      <c r="T40" s="311">
        <f>(1/1000000)*1835117338206.51</f>
        <v>1835117.3382065098</v>
      </c>
    </row>
    <row r="41" spans="2:20" ht="12.75">
      <c r="B41" s="385" t="s">
        <v>43</v>
      </c>
      <c r="C41" s="381">
        <v>7609</v>
      </c>
      <c r="D41" s="381">
        <v>12440.946159998952</v>
      </c>
      <c r="E41" s="378">
        <v>0.611609430837746</v>
      </c>
      <c r="F41" s="383">
        <v>2241.1791709999998</v>
      </c>
      <c r="G41" s="383">
        <v>3664.6641973580536</v>
      </c>
      <c r="H41" s="378">
        <v>0.6115646755890269</v>
      </c>
      <c r="I41" s="381">
        <v>6100960.154919928</v>
      </c>
      <c r="J41" s="378">
        <v>0.11091467869494516</v>
      </c>
      <c r="K41" s="383">
        <v>1747332.929431788</v>
      </c>
      <c r="L41" s="378">
        <v>0.19919300322687086</v>
      </c>
      <c r="M41" s="384">
        <f t="shared" si="0"/>
        <v>0.15546659908639163</v>
      </c>
      <c r="N41" s="393"/>
      <c r="O41" s="401">
        <v>7609</v>
      </c>
      <c r="P41" s="401">
        <v>12440.946159998952</v>
      </c>
      <c r="Q41" s="311">
        <f>(1/1000000)*2241179171</f>
        <v>2241.1791709999998</v>
      </c>
      <c r="R41" s="311">
        <f>(1/1000000)*3664664197.35805</f>
        <v>3664.6641973580495</v>
      </c>
      <c r="S41" s="401">
        <v>6100960.154919928</v>
      </c>
      <c r="T41" s="311">
        <f>(1/1000000)*1747332929431.79</f>
        <v>1747332.92943179</v>
      </c>
    </row>
    <row r="42" spans="2:20" ht="12.75">
      <c r="B42" s="385" t="s">
        <v>44</v>
      </c>
      <c r="C42" s="381">
        <v>3420</v>
      </c>
      <c r="D42" s="381">
        <v>5706.859719999766</v>
      </c>
      <c r="E42" s="378">
        <v>0.599278792155091</v>
      </c>
      <c r="F42" s="383">
        <v>1940.094776</v>
      </c>
      <c r="G42" s="383">
        <v>3247.435455537582</v>
      </c>
      <c r="H42" s="378">
        <v>0.597423660165968</v>
      </c>
      <c r="I42" s="381">
        <v>3135241.3017599536</v>
      </c>
      <c r="J42" s="378">
        <v>0.05699828761140153</v>
      </c>
      <c r="K42" s="383">
        <v>1742366.949421615</v>
      </c>
      <c r="L42" s="378">
        <v>0.19862688989178218</v>
      </c>
      <c r="M42" s="384">
        <f t="shared" si="0"/>
        <v>0.13776644157163603</v>
      </c>
      <c r="N42" s="393"/>
      <c r="O42" s="401">
        <v>3420</v>
      </c>
      <c r="P42" s="401">
        <v>5706.859719999766</v>
      </c>
      <c r="Q42" s="311">
        <f>(1/1000000)*1940094776</f>
        <v>1940.094776</v>
      </c>
      <c r="R42" s="311">
        <f>(1/1000000)*3247435455.53758</f>
        <v>3247.43545553758</v>
      </c>
      <c r="S42" s="401">
        <v>3135241.3017599536</v>
      </c>
      <c r="T42" s="311">
        <f>(1/1000000)*1742366949421.62</f>
        <v>1742366.94942162</v>
      </c>
    </row>
    <row r="43" spans="2:20" ht="12.75">
      <c r="B43" s="385" t="s">
        <v>45</v>
      </c>
      <c r="C43" s="381">
        <v>1785</v>
      </c>
      <c r="D43" s="381">
        <v>2842.627540000114</v>
      </c>
      <c r="E43" s="378">
        <v>0.6279401627129555</v>
      </c>
      <c r="F43" s="383">
        <v>2191.521961</v>
      </c>
      <c r="G43" s="383">
        <v>3513.4253152968236</v>
      </c>
      <c r="H43" s="378">
        <v>0.6237565237144806</v>
      </c>
      <c r="I43" s="381">
        <v>1474414.5001400218</v>
      </c>
      <c r="J43" s="378">
        <v>0.02680466785450511</v>
      </c>
      <c r="K43" s="383">
        <v>1771795.9834786155</v>
      </c>
      <c r="L43" s="378">
        <v>0.20198175007734856</v>
      </c>
      <c r="M43" s="384">
        <f t="shared" si="0"/>
        <v>0.14905056930100552</v>
      </c>
      <c r="N43" s="393"/>
      <c r="O43" s="401">
        <v>1785</v>
      </c>
      <c r="P43" s="401">
        <v>2842.627540000114</v>
      </c>
      <c r="Q43" s="311">
        <f>(1/1000000)*2191521961</f>
        <v>2191.521961</v>
      </c>
      <c r="R43" s="311">
        <f>(1/1000000)*3513425315.29682</f>
        <v>3513.42531529682</v>
      </c>
      <c r="S43" s="401">
        <v>1474414.5001400218</v>
      </c>
      <c r="T43" s="311">
        <f>(1/1000000)*1771795983478.62</f>
        <v>1771795.98347862</v>
      </c>
    </row>
    <row r="44" spans="2:20" ht="12.75">
      <c r="B44" s="385" t="s">
        <v>46</v>
      </c>
      <c r="C44" s="381">
        <v>187</v>
      </c>
      <c r="D44" s="381">
        <v>292.57626000000755</v>
      </c>
      <c r="E44" s="378">
        <v>0.6391496015431846</v>
      </c>
      <c r="F44" s="383">
        <v>602.045623</v>
      </c>
      <c r="G44" s="383">
        <v>937.2213986762712</v>
      </c>
      <c r="H44" s="378">
        <v>0.6423728948680936</v>
      </c>
      <c r="I44" s="381">
        <v>103500.22169999982</v>
      </c>
      <c r="J44" s="378">
        <v>0.0018816208503596983</v>
      </c>
      <c r="K44" s="383">
        <v>323054.81669003016</v>
      </c>
      <c r="L44" s="378">
        <v>0.03682770355865685</v>
      </c>
      <c r="M44" s="384">
        <f t="shared" si="0"/>
        <v>0.039759884015630825</v>
      </c>
      <c r="N44" s="393"/>
      <c r="O44" s="401">
        <v>187</v>
      </c>
      <c r="P44" s="401">
        <v>292.57626000000755</v>
      </c>
      <c r="Q44" s="311">
        <f>(1/1000000)*602045623</f>
        <v>602.045623</v>
      </c>
      <c r="R44" s="311">
        <f>(1/1000000)*937221398.676271</f>
        <v>937.221398676271</v>
      </c>
      <c r="S44" s="401">
        <v>103500.22169999982</v>
      </c>
      <c r="T44" s="311">
        <f>(1/1000000)*323054816690.03</f>
        <v>323054.81669003004</v>
      </c>
    </row>
    <row r="45" spans="2:20" ht="12.75">
      <c r="B45" s="386" t="s">
        <v>47</v>
      </c>
      <c r="C45" s="387">
        <v>101</v>
      </c>
      <c r="D45" s="387">
        <v>171.6398800000013</v>
      </c>
      <c r="E45" s="388">
        <v>0.588441334263338</v>
      </c>
      <c r="F45" s="389">
        <v>700.919096</v>
      </c>
      <c r="G45" s="389">
        <v>1319.5537844874195</v>
      </c>
      <c r="H45" s="388">
        <v>0.5311788759503061</v>
      </c>
      <c r="I45" s="387">
        <v>47676.46563000004</v>
      </c>
      <c r="J45" s="388">
        <v>0.0008667520738350821</v>
      </c>
      <c r="K45" s="389">
        <v>370379.8165945698</v>
      </c>
      <c r="L45" s="388">
        <v>0.042222673629851076</v>
      </c>
      <c r="M45" s="390">
        <f t="shared" si="0"/>
        <v>0.055979628183595004</v>
      </c>
      <c r="N45" s="393"/>
      <c r="O45" s="401">
        <v>101</v>
      </c>
      <c r="P45" s="401">
        <v>171.6398800000013</v>
      </c>
      <c r="Q45" s="311">
        <f>(1/1000000)*700919096</f>
        <v>700.919096</v>
      </c>
      <c r="R45" s="311">
        <f>(1/1000000)*1319553784.48742</f>
        <v>1319.55378448742</v>
      </c>
      <c r="S45" s="401">
        <v>47676.46563000004</v>
      </c>
      <c r="T45" s="311">
        <f>(1/1000000)*370379816594.57</f>
        <v>370379.81659457</v>
      </c>
    </row>
    <row r="46" spans="2:19" ht="12.75">
      <c r="B46" s="36"/>
      <c r="C46" s="381"/>
      <c r="D46" s="381"/>
      <c r="E46" s="378"/>
      <c r="F46" s="391"/>
      <c r="G46" s="391"/>
      <c r="H46" s="378"/>
      <c r="I46" s="381"/>
      <c r="J46" s="378"/>
      <c r="K46" s="391"/>
      <c r="L46" s="378"/>
      <c r="M46" s="378"/>
      <c r="N46" s="393"/>
      <c r="O46" s="401"/>
      <c r="P46" s="401"/>
      <c r="S46" s="401"/>
    </row>
    <row r="47" spans="1:20" ht="12.75">
      <c r="A47" s="23" t="s">
        <v>48</v>
      </c>
      <c r="B47" s="400" t="s">
        <v>134</v>
      </c>
      <c r="C47" s="232">
        <v>131622</v>
      </c>
      <c r="D47" s="232">
        <v>178057.0545999948</v>
      </c>
      <c r="E47" s="233">
        <v>0.7392124973407476</v>
      </c>
      <c r="F47" s="234">
        <v>12506.50237</v>
      </c>
      <c r="G47" s="234">
        <v>19729.885456048596</v>
      </c>
      <c r="H47" s="233">
        <v>0.63388621276389</v>
      </c>
      <c r="I47" s="232">
        <v>37796810.18918917</v>
      </c>
      <c r="J47" s="233">
        <v>0.6871411960373256</v>
      </c>
      <c r="K47" s="234">
        <v>7724206.359105551</v>
      </c>
      <c r="L47" s="233">
        <v>0.8805464810387712</v>
      </c>
      <c r="M47" s="380">
        <f t="shared" si="0"/>
        <v>0.8370038909505693</v>
      </c>
      <c r="N47" s="393"/>
      <c r="O47" s="401">
        <v>131622</v>
      </c>
      <c r="P47" s="401">
        <v>178057.0545999948</v>
      </c>
      <c r="Q47" s="311">
        <f>(1/1000000)*12506502370</f>
        <v>12506.50237</v>
      </c>
      <c r="R47" s="311">
        <f>(1/1000000)*19729885456.0486</f>
        <v>19729.8854560486</v>
      </c>
      <c r="S47" s="401">
        <v>37796810.18918917</v>
      </c>
      <c r="T47" s="311">
        <f>(1/1000000)*7724206359105.55</f>
        <v>7724206.35910555</v>
      </c>
    </row>
    <row r="48" spans="2:20" ht="12.75">
      <c r="B48" s="385" t="s">
        <v>50</v>
      </c>
      <c r="C48" s="381">
        <v>54838</v>
      </c>
      <c r="D48" s="381">
        <v>58336.970659995866</v>
      </c>
      <c r="E48" s="378">
        <v>0.9400213857454334</v>
      </c>
      <c r="F48" s="383">
        <v>2688.775828</v>
      </c>
      <c r="G48" s="383">
        <v>3279.6547598199077</v>
      </c>
      <c r="H48" s="378">
        <v>0.8198350207287202</v>
      </c>
      <c r="I48" s="381">
        <v>6026397.567539933</v>
      </c>
      <c r="J48" s="378">
        <v>0.10955914035148512</v>
      </c>
      <c r="K48" s="383">
        <v>602734.5740536265</v>
      </c>
      <c r="L48" s="378">
        <v>0.06871072360174253</v>
      </c>
      <c r="M48" s="384">
        <f t="shared" si="0"/>
        <v>0.13913328595135135</v>
      </c>
      <c r="N48" s="393"/>
      <c r="O48" s="401">
        <v>54838</v>
      </c>
      <c r="P48" s="401">
        <v>58336.970659995866</v>
      </c>
      <c r="Q48" s="311">
        <f>(1/1000000)*2688775828</f>
        <v>2688.775828</v>
      </c>
      <c r="R48" s="311">
        <f>(1/1000000)*3279654759.81991</f>
        <v>3279.65475981991</v>
      </c>
      <c r="S48" s="401">
        <v>6026397.567539933</v>
      </c>
      <c r="T48" s="311">
        <f>(1/1000000)*602734574053.627</f>
        <v>602734.574053627</v>
      </c>
    </row>
    <row r="49" spans="2:20" ht="12.75">
      <c r="B49" s="386" t="s">
        <v>250</v>
      </c>
      <c r="C49" s="387">
        <v>22629</v>
      </c>
      <c r="D49" s="387">
        <v>22917.2181199999</v>
      </c>
      <c r="E49" s="388">
        <v>0.9874235119423866</v>
      </c>
      <c r="F49" s="389">
        <v>442.183405</v>
      </c>
      <c r="G49" s="389">
        <v>562.4953139086423</v>
      </c>
      <c r="H49" s="388">
        <v>0.7861103800623257</v>
      </c>
      <c r="I49" s="387">
        <v>11182678.089090062</v>
      </c>
      <c r="J49" s="388">
        <v>0.20329966361117896</v>
      </c>
      <c r="K49" s="389">
        <v>445118.83362708887</v>
      </c>
      <c r="L49" s="388">
        <v>0.050742795359470724</v>
      </c>
      <c r="M49" s="390">
        <f t="shared" si="0"/>
        <v>0.023862823098076268</v>
      </c>
      <c r="N49" s="393"/>
      <c r="O49" s="401">
        <v>22629</v>
      </c>
      <c r="P49" s="401">
        <v>22917.2181199999</v>
      </c>
      <c r="Q49" s="311">
        <f>(1/1000000)*442183405</f>
        <v>442.183405</v>
      </c>
      <c r="R49" s="311">
        <f>(1/1000000)*562495313.908642</f>
        <v>562.4953139086421</v>
      </c>
      <c r="S49" s="401">
        <v>11182678.089090062</v>
      </c>
      <c r="T49" s="311">
        <f>(1/1000000)*445118833627.089</f>
        <v>445118.833627089</v>
      </c>
    </row>
    <row r="50" spans="2:20" ht="12.75">
      <c r="B50" s="36"/>
      <c r="C50" s="381"/>
      <c r="D50" s="381"/>
      <c r="E50" s="378"/>
      <c r="F50" s="391"/>
      <c r="G50" s="391"/>
      <c r="H50" s="378"/>
      <c r="I50" s="381"/>
      <c r="J50" s="378"/>
      <c r="K50" s="391"/>
      <c r="L50" s="378"/>
      <c r="M50" s="378"/>
      <c r="N50" s="393"/>
      <c r="O50" s="401">
        <v>1</v>
      </c>
      <c r="P50" s="401">
        <v>1</v>
      </c>
      <c r="Q50" s="311">
        <f aca="true" t="shared" si="1" ref="Q50:R52">1/1000000</f>
        <v>1E-06</v>
      </c>
      <c r="R50" s="311">
        <f t="shared" si="1"/>
        <v>1E-06</v>
      </c>
      <c r="S50" s="401">
        <v>1</v>
      </c>
      <c r="T50" s="311">
        <f>1/1000000</f>
        <v>1E-06</v>
      </c>
    </row>
    <row r="51" spans="1:20" ht="12.75">
      <c r="A51" s="23" t="s">
        <v>207</v>
      </c>
      <c r="B51" s="392">
        <v>2006</v>
      </c>
      <c r="C51" s="402">
        <v>109201</v>
      </c>
      <c r="D51" s="402">
        <v>134132.89402999263</v>
      </c>
      <c r="E51" s="403">
        <f>C51/D51</f>
        <v>0.8141254297814691</v>
      </c>
      <c r="F51" s="404">
        <f>7851537427*0.000001</f>
        <v>7851.537426999999</v>
      </c>
      <c r="G51" s="404">
        <f>11733074926.4479*0.000001</f>
        <v>11733.0749264479</v>
      </c>
      <c r="H51" s="403">
        <f>F51/G51</f>
        <v>0.6691798591775459</v>
      </c>
      <c r="I51" s="405">
        <v>28418865.85397044</v>
      </c>
      <c r="J51" s="403">
        <f>I51/$I$8</f>
        <v>0.516651362249267</v>
      </c>
      <c r="K51" s="404">
        <f>4403559435241.84*0.000001</f>
        <v>4403559.43524184</v>
      </c>
      <c r="L51" s="403">
        <f>+K51/$K$8</f>
        <v>0.501998339308518</v>
      </c>
      <c r="M51" s="406">
        <f>G51/$G$8</f>
        <v>0.49775399802134906</v>
      </c>
      <c r="N51" s="407"/>
      <c r="O51" s="401">
        <v>1</v>
      </c>
      <c r="P51" s="401">
        <v>1</v>
      </c>
      <c r="Q51" s="311">
        <f t="shared" si="1"/>
        <v>1E-06</v>
      </c>
      <c r="R51" s="311">
        <f t="shared" si="1"/>
        <v>1E-06</v>
      </c>
      <c r="S51" s="401">
        <v>1</v>
      </c>
      <c r="T51" s="311">
        <f>1/1000000</f>
        <v>1E-06</v>
      </c>
    </row>
    <row r="52" spans="2:20" ht="12.75">
      <c r="B52" s="396">
        <v>2007</v>
      </c>
      <c r="C52" s="408">
        <v>99888</v>
      </c>
      <c r="D52" s="408">
        <v>125178.34934999542</v>
      </c>
      <c r="E52" s="409">
        <f>C52/D52</f>
        <v>0.7979654670211039</v>
      </c>
      <c r="F52" s="410">
        <f>7785924176*0.000001</f>
        <v>7785.9241759999995</v>
      </c>
      <c r="G52" s="410">
        <f>11838960603.3287*0.000001</f>
        <v>11838.960603328698</v>
      </c>
      <c r="H52" s="409">
        <f>F52/G52</f>
        <v>0.6576526805749208</v>
      </c>
      <c r="I52" s="411">
        <v>26587019.991849914</v>
      </c>
      <c r="J52" s="409">
        <f>I52/$I$8</f>
        <v>0.48334863775074427</v>
      </c>
      <c r="K52" s="410">
        <f>4368500331544.57*0.000001</f>
        <v>4368500.33154457</v>
      </c>
      <c r="L52" s="412">
        <f>+K52/$K$8</f>
        <v>0.49800166069148283</v>
      </c>
      <c r="M52" s="413">
        <f>G52/$G$8</f>
        <v>0.5022460019786246</v>
      </c>
      <c r="N52" s="393"/>
      <c r="O52" s="401">
        <v>1</v>
      </c>
      <c r="P52" s="401">
        <v>1</v>
      </c>
      <c r="Q52" s="311">
        <f t="shared" si="1"/>
        <v>1E-06</v>
      </c>
      <c r="R52" s="311">
        <f t="shared" si="1"/>
        <v>1E-06</v>
      </c>
      <c r="S52" s="401">
        <v>1</v>
      </c>
      <c r="T52" s="311">
        <f>1/1000000</f>
        <v>1E-06</v>
      </c>
    </row>
    <row r="53" ht="12.75"/>
    <row r="54" ht="12.75"/>
    <row r="59" spans="6:11" ht="12.75">
      <c r="F59" s="309"/>
      <c r="G59" s="309"/>
      <c r="I59" s="309"/>
      <c r="K59" s="309"/>
    </row>
    <row r="63" ht="12.75">
      <c r="C63" s="360"/>
    </row>
    <row r="64" ht="12.75">
      <c r="C64" s="360"/>
    </row>
  </sheetData>
  <sheetProtection/>
  <mergeCells count="2">
    <mergeCell ref="B5:L5"/>
    <mergeCell ref="F1:I1"/>
  </mergeCells>
  <printOptions/>
  <pageMargins left="0.75" right="0.75" top="1" bottom="1" header="0.5" footer="0.5"/>
  <pageSetup horizontalDpi="600" verticalDpi="600" orientation="landscape" scale="63" r:id="rId3"/>
  <headerFooter alignWithMargins="0">
    <oddFooter>&amp;L"&amp;F"&amp;R&amp;"Arial,Italic"&amp;A</oddFooter>
  </headerFooter>
  <ignoredErrors>
    <ignoredError sqref="E8 H8" formula="1"/>
  </ignoredErrors>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AE52"/>
  <sheetViews>
    <sheetView zoomScale="85" zoomScaleNormal="85" zoomScaleSheetLayoutView="85" zoomScalePageLayoutView="0" workbookViewId="0" topLeftCell="A7">
      <selection activeCell="B52" sqref="B52"/>
    </sheetView>
  </sheetViews>
  <sheetFormatPr defaultColWidth="9.140625" defaultRowHeight="12.75"/>
  <cols>
    <col min="1" max="1" width="11.8515625" style="139" bestFit="1" customWidth="1"/>
    <col min="2" max="2" width="26.28125" style="130" bestFit="1" customWidth="1"/>
    <col min="3" max="3" width="9.140625" style="419" customWidth="1"/>
    <col min="4" max="4" width="13.421875" style="128" bestFit="1" customWidth="1"/>
    <col min="5" max="5" width="9.00390625" style="420" bestFit="1" customWidth="1"/>
    <col min="6" max="6" width="10.7109375" style="420" customWidth="1"/>
    <col min="7" max="7" width="2.7109375" style="420" customWidth="1"/>
    <col min="8" max="8" width="9.140625" style="419" customWidth="1"/>
    <col min="9" max="9" width="13.421875" style="128" bestFit="1" customWidth="1"/>
    <col min="10" max="11" width="9.140625" style="420" customWidth="1"/>
    <col min="12" max="12" width="2.7109375" style="420" customWidth="1"/>
    <col min="13" max="13" width="9.140625" style="419" customWidth="1"/>
    <col min="14" max="14" width="13.421875" style="128" bestFit="1" customWidth="1"/>
    <col min="15" max="16" width="9.140625" style="420" customWidth="1"/>
    <col min="17" max="17" width="2.7109375" style="420" customWidth="1"/>
    <col min="18" max="18" width="9.140625" style="419" customWidth="1"/>
    <col min="19" max="19" width="13.421875" style="128" bestFit="1" customWidth="1"/>
    <col min="20" max="21" width="9.140625" style="420" customWidth="1"/>
    <col min="22" max="22" width="2.7109375" style="420" customWidth="1"/>
    <col min="23" max="23" width="9.140625" style="419" customWidth="1"/>
    <col min="24" max="24" width="13.421875" style="128" bestFit="1" customWidth="1"/>
    <col min="25" max="26" width="9.140625" style="420" customWidth="1"/>
    <col min="27" max="27" width="2.7109375" style="420" customWidth="1"/>
    <col min="28" max="28" width="9.140625" style="419" customWidth="1"/>
    <col min="29" max="29" width="15.00390625" style="420" bestFit="1" customWidth="1"/>
    <col min="30" max="30" width="9.140625" style="420" customWidth="1"/>
    <col min="31" max="31" width="10.00390625" style="420" bestFit="1" customWidth="1"/>
    <col min="32" max="16384" width="9.140625" style="421" customWidth="1"/>
  </cols>
  <sheetData>
    <row r="1" spans="1:31" s="186" customFormat="1" ht="21.75" customHeight="1">
      <c r="A1" s="1"/>
      <c r="B1" s="416"/>
      <c r="C1" s="417"/>
      <c r="D1" s="417"/>
      <c r="E1" s="418"/>
      <c r="F1" s="418"/>
      <c r="G1" s="418"/>
      <c r="H1" s="417"/>
      <c r="I1" s="417"/>
      <c r="J1" s="418"/>
      <c r="K1" s="418"/>
      <c r="L1" s="119"/>
      <c r="M1" s="167"/>
      <c r="N1" s="167"/>
      <c r="O1" s="119"/>
      <c r="P1" s="119" t="s">
        <v>222</v>
      </c>
      <c r="Q1" s="119"/>
      <c r="R1" s="167"/>
      <c r="S1" s="167"/>
      <c r="T1" s="119"/>
      <c r="U1" s="119"/>
      <c r="V1" s="119"/>
      <c r="W1" s="417"/>
      <c r="X1" s="417"/>
      <c r="Y1" s="418"/>
      <c r="Z1" s="418"/>
      <c r="AA1" s="418"/>
      <c r="AB1" s="417"/>
      <c r="AC1" s="417"/>
      <c r="AD1" s="418"/>
      <c r="AE1" s="195"/>
    </row>
    <row r="2" spans="1:31" s="186" customFormat="1" ht="18">
      <c r="A2" s="1"/>
      <c r="B2" s="416"/>
      <c r="C2" s="417"/>
      <c r="D2" s="417"/>
      <c r="E2" s="418"/>
      <c r="F2" s="418"/>
      <c r="G2" s="418"/>
      <c r="H2" s="417"/>
      <c r="I2" s="417"/>
      <c r="J2" s="418"/>
      <c r="K2" s="418"/>
      <c r="L2" s="120"/>
      <c r="M2" s="168"/>
      <c r="N2" s="168"/>
      <c r="O2" s="120"/>
      <c r="P2" s="120" t="s">
        <v>80</v>
      </c>
      <c r="Q2" s="120"/>
      <c r="R2" s="168"/>
      <c r="S2" s="168"/>
      <c r="T2" s="120"/>
      <c r="U2" s="120"/>
      <c r="V2" s="120"/>
      <c r="W2" s="417"/>
      <c r="X2" s="417"/>
      <c r="Y2" s="418"/>
      <c r="Z2" s="418"/>
      <c r="AA2" s="418"/>
      <c r="AB2" s="417"/>
      <c r="AC2" s="417"/>
      <c r="AD2" s="418"/>
      <c r="AE2" s="195"/>
    </row>
    <row r="3" spans="1:31" s="186" customFormat="1" ht="15.75">
      <c r="A3" s="1"/>
      <c r="B3" s="416"/>
      <c r="C3" s="417"/>
      <c r="D3" s="417"/>
      <c r="E3" s="418"/>
      <c r="F3" s="418"/>
      <c r="G3" s="418"/>
      <c r="H3" s="417"/>
      <c r="I3" s="417"/>
      <c r="J3" s="418"/>
      <c r="K3" s="418"/>
      <c r="L3" s="121"/>
      <c r="M3" s="169"/>
      <c r="N3" s="169"/>
      <c r="O3" s="121"/>
      <c r="P3" s="121" t="s">
        <v>1</v>
      </c>
      <c r="Q3" s="121"/>
      <c r="R3" s="169"/>
      <c r="S3" s="169"/>
      <c r="T3" s="121"/>
      <c r="U3" s="121"/>
      <c r="V3" s="121"/>
      <c r="W3" s="417"/>
      <c r="X3" s="417"/>
      <c r="Y3" s="418"/>
      <c r="Z3" s="418"/>
      <c r="AA3" s="418"/>
      <c r="AB3" s="417"/>
      <c r="AC3" s="417"/>
      <c r="AD3" s="418"/>
      <c r="AE3" s="195"/>
    </row>
    <row r="4" spans="1:31" s="186" customFormat="1" ht="14.25" customHeight="1">
      <c r="A4" s="1"/>
      <c r="B4" s="416"/>
      <c r="C4" s="417"/>
      <c r="D4" s="417"/>
      <c r="E4" s="418"/>
      <c r="F4" s="418"/>
      <c r="G4" s="418"/>
      <c r="H4" s="417"/>
      <c r="I4" s="417"/>
      <c r="J4" s="418"/>
      <c r="K4" s="418"/>
      <c r="L4" s="129"/>
      <c r="M4" s="203"/>
      <c r="N4" s="203"/>
      <c r="O4" s="129"/>
      <c r="P4" s="129" t="s">
        <v>234</v>
      </c>
      <c r="Q4" s="129"/>
      <c r="R4" s="203"/>
      <c r="S4" s="203"/>
      <c r="T4" s="129"/>
      <c r="U4" s="129"/>
      <c r="V4" s="129"/>
      <c r="W4" s="417"/>
      <c r="X4" s="417"/>
      <c r="Y4" s="418"/>
      <c r="Z4" s="418"/>
      <c r="AA4" s="418"/>
      <c r="AB4" s="417"/>
      <c r="AC4" s="417"/>
      <c r="AD4" s="418"/>
      <c r="AE4" s="195"/>
    </row>
    <row r="5" spans="1:31" s="186" customFormat="1" ht="15.75">
      <c r="A5" s="1"/>
      <c r="B5" s="416"/>
      <c r="C5" s="417"/>
      <c r="D5" s="417"/>
      <c r="E5" s="418"/>
      <c r="F5" s="418"/>
      <c r="G5" s="418"/>
      <c r="H5" s="417"/>
      <c r="I5" s="417"/>
      <c r="J5" s="418"/>
      <c r="K5" s="418"/>
      <c r="L5" s="122"/>
      <c r="M5" s="171"/>
      <c r="N5" s="171"/>
      <c r="O5" s="122"/>
      <c r="P5" s="122" t="s">
        <v>233</v>
      </c>
      <c r="Q5" s="122"/>
      <c r="R5" s="171"/>
      <c r="S5" s="171"/>
      <c r="T5" s="122"/>
      <c r="U5" s="122"/>
      <c r="V5" s="122"/>
      <c r="W5" s="417"/>
      <c r="X5" s="417"/>
      <c r="Y5" s="418"/>
      <c r="Z5" s="418"/>
      <c r="AA5" s="418"/>
      <c r="AB5" s="417"/>
      <c r="AC5" s="417"/>
      <c r="AD5" s="418"/>
      <c r="AE5" s="195"/>
    </row>
    <row r="6" spans="1:28" ht="12.75">
      <c r="A6" s="679"/>
      <c r="B6" s="679"/>
      <c r="C6" s="679"/>
      <c r="D6" s="679"/>
      <c r="E6" s="679"/>
      <c r="F6" s="679"/>
      <c r="G6" s="679"/>
      <c r="H6" s="679"/>
      <c r="I6" s="679"/>
      <c r="J6" s="679"/>
      <c r="K6" s="679"/>
      <c r="L6" s="679"/>
      <c r="M6" s="679"/>
      <c r="N6" s="679"/>
      <c r="O6" s="679"/>
      <c r="P6" s="679"/>
      <c r="Q6" s="679"/>
      <c r="R6" s="679"/>
      <c r="S6" s="679"/>
      <c r="T6" s="679"/>
      <c r="U6" s="679"/>
      <c r="V6" s="679"/>
      <c r="W6" s="679"/>
      <c r="X6" s="679"/>
      <c r="Y6" s="679"/>
      <c r="Z6" s="679"/>
      <c r="AA6" s="679"/>
      <c r="AB6" s="679"/>
    </row>
    <row r="7" spans="1:27" ht="12.75">
      <c r="A7" s="678" t="s">
        <v>208</v>
      </c>
      <c r="B7" s="678"/>
      <c r="C7" s="678"/>
      <c r="D7" s="678"/>
      <c r="E7" s="678"/>
      <c r="F7" s="678"/>
      <c r="G7" s="678"/>
      <c r="H7" s="678"/>
      <c r="I7" s="678"/>
      <c r="J7" s="678"/>
      <c r="K7" s="678"/>
      <c r="L7" s="678"/>
      <c r="M7" s="678"/>
      <c r="N7" s="678"/>
      <c r="O7" s="678"/>
      <c r="P7" s="678"/>
      <c r="Q7" s="678"/>
      <c r="R7" s="678"/>
      <c r="S7" s="678"/>
      <c r="T7" s="678"/>
      <c r="U7" s="678"/>
      <c r="V7" s="678"/>
      <c r="W7" s="678"/>
      <c r="X7" s="678"/>
      <c r="Y7" s="678"/>
      <c r="Z7" s="678"/>
      <c r="AA7" s="678"/>
    </row>
    <row r="8" spans="3:31" ht="12.75">
      <c r="C8" s="678" t="s">
        <v>209</v>
      </c>
      <c r="D8" s="678"/>
      <c r="E8" s="678"/>
      <c r="F8" s="678"/>
      <c r="G8" s="126"/>
      <c r="H8" s="678" t="s">
        <v>210</v>
      </c>
      <c r="I8" s="678"/>
      <c r="J8" s="678"/>
      <c r="K8" s="678"/>
      <c r="M8" s="678" t="s">
        <v>211</v>
      </c>
      <c r="N8" s="678"/>
      <c r="O8" s="678"/>
      <c r="P8" s="678"/>
      <c r="R8" s="678" t="s">
        <v>212</v>
      </c>
      <c r="S8" s="678"/>
      <c r="T8" s="678"/>
      <c r="U8" s="678"/>
      <c r="W8" s="678" t="s">
        <v>213</v>
      </c>
      <c r="X8" s="678"/>
      <c r="Y8" s="678"/>
      <c r="Z8" s="678"/>
      <c r="AB8" s="678" t="s">
        <v>214</v>
      </c>
      <c r="AC8" s="678"/>
      <c r="AD8" s="678"/>
      <c r="AE8" s="678"/>
    </row>
    <row r="10" spans="3:31" ht="12.75">
      <c r="C10" s="680" t="s">
        <v>215</v>
      </c>
      <c r="D10" s="680"/>
      <c r="E10" s="680" t="s">
        <v>216</v>
      </c>
      <c r="F10" s="680"/>
      <c r="H10" s="680" t="s">
        <v>215</v>
      </c>
      <c r="I10" s="680"/>
      <c r="J10" s="680" t="s">
        <v>216</v>
      </c>
      <c r="K10" s="680"/>
      <c r="M10" s="680" t="s">
        <v>215</v>
      </c>
      <c r="N10" s="680"/>
      <c r="O10" s="680" t="s">
        <v>216</v>
      </c>
      <c r="P10" s="680"/>
      <c r="R10" s="680" t="s">
        <v>215</v>
      </c>
      <c r="S10" s="680"/>
      <c r="T10" s="680" t="s">
        <v>216</v>
      </c>
      <c r="U10" s="680"/>
      <c r="W10" s="680" t="s">
        <v>215</v>
      </c>
      <c r="X10" s="680"/>
      <c r="Y10" s="680" t="s">
        <v>216</v>
      </c>
      <c r="Z10" s="680"/>
      <c r="AB10" s="680" t="s">
        <v>215</v>
      </c>
      <c r="AC10" s="680"/>
      <c r="AD10" s="680" t="s">
        <v>216</v>
      </c>
      <c r="AE10" s="680"/>
    </row>
    <row r="11" spans="3:31" ht="12.75">
      <c r="C11" s="419" t="s">
        <v>258</v>
      </c>
      <c r="D11" s="128" t="s">
        <v>217</v>
      </c>
      <c r="E11" s="420" t="s">
        <v>258</v>
      </c>
      <c r="F11" s="420" t="s">
        <v>217</v>
      </c>
      <c r="H11" s="419" t="s">
        <v>258</v>
      </c>
      <c r="I11" s="128" t="s">
        <v>217</v>
      </c>
      <c r="J11" s="420" t="s">
        <v>258</v>
      </c>
      <c r="K11" s="420" t="s">
        <v>217</v>
      </c>
      <c r="M11" s="419" t="s">
        <v>258</v>
      </c>
      <c r="N11" s="128" t="s">
        <v>217</v>
      </c>
      <c r="O11" s="420" t="s">
        <v>258</v>
      </c>
      <c r="P11" s="420" t="s">
        <v>217</v>
      </c>
      <c r="R11" s="419" t="s">
        <v>258</v>
      </c>
      <c r="S11" s="128" t="s">
        <v>217</v>
      </c>
      <c r="T11" s="420" t="s">
        <v>258</v>
      </c>
      <c r="U11" s="420" t="s">
        <v>217</v>
      </c>
      <c r="W11" s="419" t="s">
        <v>258</v>
      </c>
      <c r="X11" s="128" t="s">
        <v>217</v>
      </c>
      <c r="Y11" s="420" t="s">
        <v>258</v>
      </c>
      <c r="Z11" s="420" t="s">
        <v>217</v>
      </c>
      <c r="AB11" s="419" t="s">
        <v>258</v>
      </c>
      <c r="AC11" s="128" t="s">
        <v>217</v>
      </c>
      <c r="AD11" s="420" t="s">
        <v>258</v>
      </c>
      <c r="AE11" s="420" t="s">
        <v>217</v>
      </c>
    </row>
    <row r="12" ht="12.75">
      <c r="AC12" s="128"/>
    </row>
    <row r="13" spans="1:31" ht="12.75">
      <c r="A13" s="139" t="s">
        <v>10</v>
      </c>
      <c r="B13" s="131"/>
      <c r="C13" s="422">
        <v>512</v>
      </c>
      <c r="D13" s="140">
        <v>136028355</v>
      </c>
      <c r="E13" s="423">
        <v>0.6345728238561372</v>
      </c>
      <c r="F13" s="424">
        <v>0.5460616515867022</v>
      </c>
      <c r="G13" s="425"/>
      <c r="H13" s="422">
        <v>1371</v>
      </c>
      <c r="I13" s="140">
        <v>263742376</v>
      </c>
      <c r="J13" s="423">
        <v>0.7666838371784317</v>
      </c>
      <c r="K13" s="424">
        <v>0.689645890425081</v>
      </c>
      <c r="M13" s="422">
        <v>2024</v>
      </c>
      <c r="N13" s="140">
        <v>414418920</v>
      </c>
      <c r="O13" s="423">
        <v>0.806085717769255</v>
      </c>
      <c r="P13" s="424">
        <v>0.7906793120968518</v>
      </c>
      <c r="R13" s="422">
        <v>1224</v>
      </c>
      <c r="S13" s="140">
        <v>244364902</v>
      </c>
      <c r="T13" s="423">
        <v>0.7774755525067331</v>
      </c>
      <c r="U13" s="424">
        <v>0.8492583673960076</v>
      </c>
      <c r="W13" s="422">
        <v>835</v>
      </c>
      <c r="X13" s="140">
        <v>172006568</v>
      </c>
      <c r="Y13" s="423">
        <v>0.9719760335620677</v>
      </c>
      <c r="Z13" s="424">
        <v>1.0618129579935087</v>
      </c>
      <c r="AB13" s="422">
        <v>5966</v>
      </c>
      <c r="AC13" s="140">
        <v>1230561121</v>
      </c>
      <c r="AD13" s="423">
        <v>0.7912901916677229</v>
      </c>
      <c r="AE13" s="424">
        <v>0.7664942916328257</v>
      </c>
    </row>
    <row r="14" spans="5:31" ht="12.75">
      <c r="E14" s="426"/>
      <c r="F14" s="426"/>
      <c r="J14" s="426"/>
      <c r="K14" s="426"/>
      <c r="O14" s="426"/>
      <c r="P14" s="426"/>
      <c r="T14" s="426"/>
      <c r="U14" s="426"/>
      <c r="Y14" s="426"/>
      <c r="Z14" s="426"/>
      <c r="AC14" s="128"/>
      <c r="AD14" s="426"/>
      <c r="AE14" s="426"/>
    </row>
    <row r="15" spans="1:31" ht="12.75">
      <c r="A15" s="112" t="s">
        <v>11</v>
      </c>
      <c r="B15" s="133" t="s">
        <v>16</v>
      </c>
      <c r="C15" s="427">
        <v>5</v>
      </c>
      <c r="D15" s="146">
        <v>900000</v>
      </c>
      <c r="E15" s="428">
        <v>0.5157866830067885</v>
      </c>
      <c r="F15" s="429">
        <v>0.48393008749557076</v>
      </c>
      <c r="G15" s="425"/>
      <c r="H15" s="427">
        <v>14</v>
      </c>
      <c r="I15" s="146">
        <v>2150000</v>
      </c>
      <c r="J15" s="428">
        <v>0.6730863074533241</v>
      </c>
      <c r="K15" s="429">
        <v>0.6937868006554062</v>
      </c>
      <c r="M15" s="427">
        <v>46</v>
      </c>
      <c r="N15" s="146">
        <v>6050117</v>
      </c>
      <c r="O15" s="428">
        <v>1.0036108171792004</v>
      </c>
      <c r="P15" s="429">
        <v>0.9285477122907891</v>
      </c>
      <c r="R15" s="427">
        <v>14</v>
      </c>
      <c r="S15" s="146">
        <v>1884941</v>
      </c>
      <c r="T15" s="428">
        <v>0.5152745787814339</v>
      </c>
      <c r="U15" s="429">
        <v>0.4727344805547296</v>
      </c>
      <c r="W15" s="427">
        <v>4</v>
      </c>
      <c r="X15" s="146">
        <v>550000</v>
      </c>
      <c r="Y15" s="428">
        <v>0.4538476637624205</v>
      </c>
      <c r="Z15" s="429">
        <v>0.45781308982519814</v>
      </c>
      <c r="AB15" s="427">
        <v>83</v>
      </c>
      <c r="AC15" s="146">
        <v>11535058</v>
      </c>
      <c r="AD15" s="428">
        <v>0.7390150532024122</v>
      </c>
      <c r="AE15" s="429">
        <v>0.69225317764923</v>
      </c>
    </row>
    <row r="16" spans="2:31" ht="12.75">
      <c r="B16" s="134" t="s">
        <v>17</v>
      </c>
      <c r="C16" s="430">
        <v>13</v>
      </c>
      <c r="D16" s="149">
        <v>1929276</v>
      </c>
      <c r="E16" s="431">
        <v>0.35887888444983357</v>
      </c>
      <c r="F16" s="432">
        <v>0.25803971843879353</v>
      </c>
      <c r="G16" s="425"/>
      <c r="H16" s="430">
        <v>50</v>
      </c>
      <c r="I16" s="149">
        <v>6251872</v>
      </c>
      <c r="J16" s="431">
        <v>0.7309587796263067</v>
      </c>
      <c r="K16" s="432">
        <v>0.5249088324097249</v>
      </c>
      <c r="M16" s="430">
        <v>82</v>
      </c>
      <c r="N16" s="149">
        <v>11634287</v>
      </c>
      <c r="O16" s="431">
        <v>0.6760312382493164</v>
      </c>
      <c r="P16" s="432">
        <v>0.5793498535459689</v>
      </c>
      <c r="R16" s="430">
        <v>76</v>
      </c>
      <c r="S16" s="149">
        <v>12226990</v>
      </c>
      <c r="T16" s="431">
        <v>0.7613990707925788</v>
      </c>
      <c r="U16" s="432">
        <v>0.820724899360733</v>
      </c>
      <c r="W16" s="430">
        <v>22</v>
      </c>
      <c r="X16" s="149">
        <v>2667200</v>
      </c>
      <c r="Y16" s="431">
        <v>0.7021239248727383</v>
      </c>
      <c r="Z16" s="432">
        <v>0.5657660511592059</v>
      </c>
      <c r="AB16" s="430">
        <v>243</v>
      </c>
      <c r="AC16" s="149">
        <v>34709625</v>
      </c>
      <c r="AD16" s="431">
        <v>0.6805328263970473</v>
      </c>
      <c r="AE16" s="432">
        <v>0.5874942182617789</v>
      </c>
    </row>
    <row r="17" spans="2:31" ht="12.75">
      <c r="B17" s="134" t="s">
        <v>18</v>
      </c>
      <c r="C17" s="430">
        <v>57</v>
      </c>
      <c r="D17" s="149">
        <v>10656284</v>
      </c>
      <c r="E17" s="431">
        <v>0.6761402215177692</v>
      </c>
      <c r="F17" s="432">
        <v>0.5481684762250298</v>
      </c>
      <c r="G17" s="425"/>
      <c r="H17" s="430">
        <v>111</v>
      </c>
      <c r="I17" s="149">
        <v>19166643</v>
      </c>
      <c r="J17" s="431">
        <v>0.7072578739305797</v>
      </c>
      <c r="K17" s="432">
        <v>0.6478543571311217</v>
      </c>
      <c r="M17" s="430">
        <v>193</v>
      </c>
      <c r="N17" s="149">
        <v>34199751</v>
      </c>
      <c r="O17" s="431">
        <v>0.7230575910126261</v>
      </c>
      <c r="P17" s="432">
        <v>0.687728838217633</v>
      </c>
      <c r="R17" s="430">
        <v>141</v>
      </c>
      <c r="S17" s="149">
        <v>25983293</v>
      </c>
      <c r="T17" s="431">
        <v>0.6625748363005507</v>
      </c>
      <c r="U17" s="432">
        <v>0.7437303920822351</v>
      </c>
      <c r="W17" s="430">
        <v>73</v>
      </c>
      <c r="X17" s="149">
        <v>15562225</v>
      </c>
      <c r="Y17" s="431">
        <v>0.9135354924807245</v>
      </c>
      <c r="Z17" s="432">
        <v>1.1449230107461907</v>
      </c>
      <c r="AB17" s="430">
        <v>575</v>
      </c>
      <c r="AC17" s="149">
        <v>105568196</v>
      </c>
      <c r="AD17" s="431">
        <v>0.717956917865147</v>
      </c>
      <c r="AE17" s="432">
        <v>0.7167761619773497</v>
      </c>
    </row>
    <row r="18" spans="2:31" ht="12.75">
      <c r="B18" s="134" t="s">
        <v>19</v>
      </c>
      <c r="C18" s="430">
        <v>64</v>
      </c>
      <c r="D18" s="149">
        <v>14423903</v>
      </c>
      <c r="E18" s="431">
        <v>0.5220748330645323</v>
      </c>
      <c r="F18" s="432">
        <v>0.45862734237653957</v>
      </c>
      <c r="G18" s="425"/>
      <c r="H18" s="430">
        <v>157</v>
      </c>
      <c r="I18" s="149">
        <v>29092551</v>
      </c>
      <c r="J18" s="431">
        <v>0.6642492787924027</v>
      </c>
      <c r="K18" s="432">
        <v>0.6102543321904473</v>
      </c>
      <c r="M18" s="430">
        <v>273</v>
      </c>
      <c r="N18" s="149">
        <v>51441297</v>
      </c>
      <c r="O18" s="431">
        <v>0.6872461736184741</v>
      </c>
      <c r="P18" s="432">
        <v>0.6558113216245949</v>
      </c>
      <c r="R18" s="430">
        <v>208</v>
      </c>
      <c r="S18" s="149">
        <v>30317169</v>
      </c>
      <c r="T18" s="431">
        <v>0.736148959175622</v>
      </c>
      <c r="U18" s="432">
        <v>0.6182888966526102</v>
      </c>
      <c r="W18" s="430">
        <v>105</v>
      </c>
      <c r="X18" s="149">
        <v>20903085</v>
      </c>
      <c r="Y18" s="431">
        <v>0.8046086758884485</v>
      </c>
      <c r="Z18" s="432">
        <v>0.9127716241475518</v>
      </c>
      <c r="AB18" s="430">
        <v>807</v>
      </c>
      <c r="AC18" s="149">
        <v>146178005</v>
      </c>
      <c r="AD18" s="431">
        <v>0.6901965592564073</v>
      </c>
      <c r="AE18" s="432">
        <v>0.6369500223016618</v>
      </c>
    </row>
    <row r="19" spans="2:31" ht="12.75">
      <c r="B19" s="134" t="s">
        <v>104</v>
      </c>
      <c r="C19" s="430">
        <v>92</v>
      </c>
      <c r="D19" s="149">
        <v>22507960</v>
      </c>
      <c r="E19" s="431">
        <v>0.639860588287825</v>
      </c>
      <c r="F19" s="432">
        <v>0.5416797665076569</v>
      </c>
      <c r="G19" s="425"/>
      <c r="H19" s="430">
        <v>213</v>
      </c>
      <c r="I19" s="149">
        <v>38619742</v>
      </c>
      <c r="J19" s="431">
        <v>0.7445028166498919</v>
      </c>
      <c r="K19" s="432">
        <v>0.6404546376207758</v>
      </c>
      <c r="M19" s="430">
        <v>328</v>
      </c>
      <c r="N19" s="149">
        <v>66040075</v>
      </c>
      <c r="O19" s="431">
        <v>0.7389043598240778</v>
      </c>
      <c r="P19" s="432">
        <v>0.7153698428777426</v>
      </c>
      <c r="R19" s="430">
        <v>236</v>
      </c>
      <c r="S19" s="149">
        <v>42203622</v>
      </c>
      <c r="T19" s="431">
        <v>0.7810352204854143</v>
      </c>
      <c r="U19" s="432">
        <v>0.7831895814796885</v>
      </c>
      <c r="W19" s="430">
        <v>143</v>
      </c>
      <c r="X19" s="149">
        <v>30936300</v>
      </c>
      <c r="Y19" s="431">
        <v>0.9046839537219343</v>
      </c>
      <c r="Z19" s="432">
        <v>1.0374365846291431</v>
      </c>
      <c r="AB19" s="430">
        <v>1012</v>
      </c>
      <c r="AC19" s="149">
        <v>200307699</v>
      </c>
      <c r="AD19" s="431">
        <v>0.7586160890523451</v>
      </c>
      <c r="AE19" s="432">
        <v>0.7208542518648346</v>
      </c>
    </row>
    <row r="20" spans="2:31" ht="12.75">
      <c r="B20" s="134" t="s">
        <v>105</v>
      </c>
      <c r="C20" s="430">
        <v>80</v>
      </c>
      <c r="D20" s="149">
        <v>21513494</v>
      </c>
      <c r="E20" s="431">
        <v>0.5906703761750732</v>
      </c>
      <c r="F20" s="432">
        <v>0.48676082153749217</v>
      </c>
      <c r="G20" s="425"/>
      <c r="H20" s="430">
        <v>237</v>
      </c>
      <c r="I20" s="149">
        <v>40127610</v>
      </c>
      <c r="J20" s="431">
        <v>0.8571498631417352</v>
      </c>
      <c r="K20" s="432">
        <v>0.6780934991257661</v>
      </c>
      <c r="M20" s="430">
        <v>354</v>
      </c>
      <c r="N20" s="149">
        <v>63328861</v>
      </c>
      <c r="O20" s="431">
        <v>0.8768212307647376</v>
      </c>
      <c r="P20" s="432">
        <v>0.7319109407946074</v>
      </c>
      <c r="R20" s="430">
        <v>180</v>
      </c>
      <c r="S20" s="149">
        <v>32398564</v>
      </c>
      <c r="T20" s="431">
        <v>0.727127566169515</v>
      </c>
      <c r="U20" s="432">
        <v>0.7174805657101823</v>
      </c>
      <c r="W20" s="430">
        <v>155</v>
      </c>
      <c r="X20" s="149">
        <v>28980020</v>
      </c>
      <c r="Y20" s="431">
        <v>1.0270344625058185</v>
      </c>
      <c r="Z20" s="432">
        <v>0.9993785476483827</v>
      </c>
      <c r="AB20" s="430">
        <v>1006</v>
      </c>
      <c r="AC20" s="149">
        <v>186348549</v>
      </c>
      <c r="AD20" s="431">
        <v>0.8285716954275142</v>
      </c>
      <c r="AE20" s="432">
        <v>0.7057219380939157</v>
      </c>
    </row>
    <row r="21" spans="2:31" ht="12.75">
      <c r="B21" s="134" t="s">
        <v>106</v>
      </c>
      <c r="C21" s="430">
        <v>82</v>
      </c>
      <c r="D21" s="149">
        <v>24459995</v>
      </c>
      <c r="E21" s="431">
        <v>0.7026326015529044</v>
      </c>
      <c r="F21" s="432">
        <v>0.599614620585992</v>
      </c>
      <c r="G21" s="425"/>
      <c r="H21" s="430">
        <v>188</v>
      </c>
      <c r="I21" s="149">
        <v>41473772</v>
      </c>
      <c r="J21" s="431">
        <v>0.753103507507478</v>
      </c>
      <c r="K21" s="432">
        <v>0.7465479434248561</v>
      </c>
      <c r="M21" s="430">
        <v>286</v>
      </c>
      <c r="N21" s="149">
        <v>56610743</v>
      </c>
      <c r="O21" s="431">
        <v>0.8824686313257106</v>
      </c>
      <c r="P21" s="432">
        <v>0.7980732520224624</v>
      </c>
      <c r="R21" s="430">
        <v>155</v>
      </c>
      <c r="S21" s="149">
        <v>25706389</v>
      </c>
      <c r="T21" s="431">
        <v>0.8378328108409742</v>
      </c>
      <c r="U21" s="432">
        <v>0.6981629747798787</v>
      </c>
      <c r="W21" s="430">
        <v>125</v>
      </c>
      <c r="X21" s="149">
        <v>28620374</v>
      </c>
      <c r="Y21" s="431">
        <v>1.0227549057052736</v>
      </c>
      <c r="Z21" s="432">
        <v>1.1818216843708451</v>
      </c>
      <c r="AB21" s="430">
        <v>836</v>
      </c>
      <c r="AC21" s="149">
        <v>176871273</v>
      </c>
      <c r="AD21" s="431">
        <v>0.8379704876015941</v>
      </c>
      <c r="AE21" s="432">
        <v>0.7746693755856341</v>
      </c>
    </row>
    <row r="22" spans="2:31" ht="12.75">
      <c r="B22" s="134" t="s">
        <v>107</v>
      </c>
      <c r="C22" s="430">
        <v>57</v>
      </c>
      <c r="D22" s="149">
        <v>19696238</v>
      </c>
      <c r="E22" s="431">
        <v>0.6951563699373402</v>
      </c>
      <c r="F22" s="432">
        <v>0.5733627085986357</v>
      </c>
      <c r="G22" s="425"/>
      <c r="H22" s="430">
        <v>153</v>
      </c>
      <c r="I22" s="149">
        <v>32713990</v>
      </c>
      <c r="J22" s="431">
        <v>0.7416316681957329</v>
      </c>
      <c r="K22" s="432">
        <v>0.6931395991741056</v>
      </c>
      <c r="M22" s="430">
        <v>232</v>
      </c>
      <c r="N22" s="149">
        <v>75158473</v>
      </c>
      <c r="O22" s="431">
        <v>0.944263272973608</v>
      </c>
      <c r="P22" s="432">
        <v>1.3131038927717051</v>
      </c>
      <c r="R22" s="430">
        <v>113</v>
      </c>
      <c r="S22" s="149">
        <v>32566905</v>
      </c>
      <c r="T22" s="431">
        <v>0.9350557446308114</v>
      </c>
      <c r="U22" s="432">
        <v>1.2472364005614303</v>
      </c>
      <c r="W22" s="430">
        <v>123</v>
      </c>
      <c r="X22" s="149">
        <v>24760766</v>
      </c>
      <c r="Y22" s="431">
        <v>1.2751390290303515</v>
      </c>
      <c r="Z22" s="432">
        <v>1.3020205462153362</v>
      </c>
      <c r="AB22" s="430">
        <v>678</v>
      </c>
      <c r="AC22" s="149">
        <v>184896372</v>
      </c>
      <c r="AD22" s="431">
        <v>0.9024352014256665</v>
      </c>
      <c r="AE22" s="432">
        <v>1.0053378012338459</v>
      </c>
    </row>
    <row r="23" spans="2:31" ht="12.75">
      <c r="B23" s="134" t="s">
        <v>108</v>
      </c>
      <c r="C23" s="430">
        <v>32</v>
      </c>
      <c r="D23" s="149">
        <v>11384046</v>
      </c>
      <c r="E23" s="431">
        <v>0.720069252660374</v>
      </c>
      <c r="F23" s="432">
        <v>0.6645298164650423</v>
      </c>
      <c r="G23" s="425"/>
      <c r="H23" s="430">
        <v>130</v>
      </c>
      <c r="I23" s="149">
        <v>28637332</v>
      </c>
      <c r="J23" s="431">
        <v>0.8491750754051128</v>
      </c>
      <c r="K23" s="432">
        <v>0.8854556605975522</v>
      </c>
      <c r="M23" s="430">
        <v>121</v>
      </c>
      <c r="N23" s="149">
        <v>25103395</v>
      </c>
      <c r="O23" s="431">
        <v>0.8579579070251565</v>
      </c>
      <c r="P23" s="432">
        <v>0.7896821399360151</v>
      </c>
      <c r="R23" s="430">
        <v>67</v>
      </c>
      <c r="S23" s="149">
        <v>34250050</v>
      </c>
      <c r="T23" s="431">
        <v>1.1331948805976246</v>
      </c>
      <c r="U23" s="432">
        <v>2.4017456908855834</v>
      </c>
      <c r="W23" s="430">
        <v>55</v>
      </c>
      <c r="X23" s="149">
        <v>11467644</v>
      </c>
      <c r="Y23" s="431">
        <v>1.0471720547476788</v>
      </c>
      <c r="Z23" s="432">
        <v>1.1123162713870234</v>
      </c>
      <c r="AB23" s="430">
        <v>405</v>
      </c>
      <c r="AC23" s="149">
        <v>110842467</v>
      </c>
      <c r="AD23" s="431">
        <v>0.8995806754611436</v>
      </c>
      <c r="AE23" s="432">
        <v>1.047340499261522</v>
      </c>
    </row>
    <row r="24" spans="2:31" ht="12.75">
      <c r="B24" s="134" t="s">
        <v>109</v>
      </c>
      <c r="C24" s="430">
        <v>17</v>
      </c>
      <c r="D24" s="149">
        <v>3789524</v>
      </c>
      <c r="E24" s="431">
        <v>0.8296470974064256</v>
      </c>
      <c r="F24" s="432">
        <v>0.5956032188328244</v>
      </c>
      <c r="G24" s="425"/>
      <c r="H24" s="430">
        <v>79</v>
      </c>
      <c r="I24" s="149">
        <v>17623267</v>
      </c>
      <c r="J24" s="431">
        <v>0.8319117996579471</v>
      </c>
      <c r="K24" s="432">
        <v>0.8247390894101791</v>
      </c>
      <c r="M24" s="430">
        <v>82</v>
      </c>
      <c r="N24" s="149">
        <v>20868592</v>
      </c>
      <c r="O24" s="431">
        <v>1.1470315383315564</v>
      </c>
      <c r="P24" s="432">
        <v>1.130396066863483</v>
      </c>
      <c r="R24" s="430">
        <v>25</v>
      </c>
      <c r="S24" s="149">
        <v>5590011</v>
      </c>
      <c r="T24" s="431">
        <v>1.131758920863342</v>
      </c>
      <c r="U24" s="432">
        <v>1.295100458467404</v>
      </c>
      <c r="W24" s="430">
        <v>20</v>
      </c>
      <c r="X24" s="149">
        <v>4322463</v>
      </c>
      <c r="Y24" s="431">
        <v>1.1563293711707436</v>
      </c>
      <c r="Z24" s="432">
        <v>1.0456663439916014</v>
      </c>
      <c r="AB24" s="430">
        <v>223</v>
      </c>
      <c r="AC24" s="149">
        <v>52193857</v>
      </c>
      <c r="AD24" s="431">
        <v>0.985299464540548</v>
      </c>
      <c r="AE24" s="432">
        <v>0.9551954691100671</v>
      </c>
    </row>
    <row r="25" spans="2:31" ht="12.75">
      <c r="B25" s="134" t="s">
        <v>110</v>
      </c>
      <c r="C25" s="430">
        <v>11</v>
      </c>
      <c r="D25" s="149">
        <v>4450095</v>
      </c>
      <c r="E25" s="431">
        <v>1.509676339117224</v>
      </c>
      <c r="F25" s="432">
        <v>1.518180671607058</v>
      </c>
      <c r="G25" s="425"/>
      <c r="H25" s="430">
        <v>31</v>
      </c>
      <c r="I25" s="149">
        <v>6395705</v>
      </c>
      <c r="J25" s="431">
        <v>1.0583141328976275</v>
      </c>
      <c r="K25" s="432">
        <v>0.7796356968313813</v>
      </c>
      <c r="M25" s="430">
        <v>14</v>
      </c>
      <c r="N25" s="149">
        <v>1628843</v>
      </c>
      <c r="O25" s="431">
        <v>0.4693658331176486</v>
      </c>
      <c r="P25" s="432">
        <v>0.2381894054565239</v>
      </c>
      <c r="R25" s="430">
        <v>8</v>
      </c>
      <c r="S25" s="149">
        <v>1064873</v>
      </c>
      <c r="T25" s="431">
        <v>0.7921709742613746</v>
      </c>
      <c r="U25" s="432">
        <v>0.34414945191651547</v>
      </c>
      <c r="W25" s="430">
        <v>5</v>
      </c>
      <c r="X25" s="149">
        <v>1200443</v>
      </c>
      <c r="Y25" s="431">
        <v>0.8238630278284457</v>
      </c>
      <c r="Z25" s="432">
        <v>0.5667115545118123</v>
      </c>
      <c r="AB25" s="430">
        <v>69</v>
      </c>
      <c r="AC25" s="149">
        <v>14739959</v>
      </c>
      <c r="AD25" s="431">
        <v>0.8356193780375963</v>
      </c>
      <c r="AE25" s="432">
        <v>0.6357384914611042</v>
      </c>
    </row>
    <row r="26" spans="2:31" ht="12.75">
      <c r="B26" s="134" t="s">
        <v>111</v>
      </c>
      <c r="C26" s="430">
        <v>2</v>
      </c>
      <c r="D26" s="149">
        <v>317540</v>
      </c>
      <c r="E26" s="431">
        <v>0.6338200014577863</v>
      </c>
      <c r="F26" s="432">
        <v>0.2979554098570787</v>
      </c>
      <c r="G26" s="425"/>
      <c r="H26" s="430">
        <v>6</v>
      </c>
      <c r="I26" s="149">
        <v>1139892</v>
      </c>
      <c r="J26" s="431">
        <v>1.0058793648877689</v>
      </c>
      <c r="K26" s="432">
        <v>0.3282391771053577</v>
      </c>
      <c r="M26" s="430">
        <v>5</v>
      </c>
      <c r="N26" s="149">
        <v>693455</v>
      </c>
      <c r="O26" s="431">
        <v>0.4224771355374248</v>
      </c>
      <c r="P26" s="432">
        <v>0.21306199671310638</v>
      </c>
      <c r="R26" s="430">
        <v>0</v>
      </c>
      <c r="S26" s="149">
        <v>0</v>
      </c>
      <c r="T26" s="431">
        <v>0</v>
      </c>
      <c r="U26" s="432">
        <v>0</v>
      </c>
      <c r="W26" s="430">
        <v>5</v>
      </c>
      <c r="X26" s="149">
        <v>2036048</v>
      </c>
      <c r="Y26" s="431">
        <v>1.2530668811917167</v>
      </c>
      <c r="Z26" s="432">
        <v>2.7117545306765667</v>
      </c>
      <c r="AB26" s="430">
        <v>18</v>
      </c>
      <c r="AC26" s="149">
        <v>4186935</v>
      </c>
      <c r="AD26" s="431">
        <v>0.6303227252353203</v>
      </c>
      <c r="AE26" s="432">
        <v>0.4463484589658447</v>
      </c>
    </row>
    <row r="27" spans="2:31" ht="12.75">
      <c r="B27" s="134" t="s">
        <v>112</v>
      </c>
      <c r="C27" s="430">
        <v>0</v>
      </c>
      <c r="D27" s="149">
        <v>0</v>
      </c>
      <c r="E27" s="431">
        <v>0</v>
      </c>
      <c r="F27" s="432">
        <v>0</v>
      </c>
      <c r="G27" s="425"/>
      <c r="H27" s="430">
        <v>2</v>
      </c>
      <c r="I27" s="149">
        <v>350000</v>
      </c>
      <c r="J27" s="431">
        <v>0.5895965685479712</v>
      </c>
      <c r="K27" s="432">
        <v>0.1537532715232119</v>
      </c>
      <c r="M27" s="430">
        <v>5</v>
      </c>
      <c r="N27" s="149">
        <v>1223326</v>
      </c>
      <c r="O27" s="431">
        <v>0.84682753002427</v>
      </c>
      <c r="P27" s="432">
        <v>0.790353976120835</v>
      </c>
      <c r="R27" s="430">
        <v>1</v>
      </c>
      <c r="S27" s="149">
        <v>172095</v>
      </c>
      <c r="T27" s="431">
        <v>0.7713073659853452</v>
      </c>
      <c r="U27" s="432">
        <v>0.6644514068471529</v>
      </c>
      <c r="W27" s="430">
        <v>0</v>
      </c>
      <c r="X27" s="149">
        <v>0</v>
      </c>
      <c r="Y27" s="431">
        <v>0</v>
      </c>
      <c r="Z27" s="432">
        <v>0</v>
      </c>
      <c r="AB27" s="430">
        <v>8</v>
      </c>
      <c r="AC27" s="149">
        <v>1745421</v>
      </c>
      <c r="AD27" s="431">
        <v>0.6619951872949884</v>
      </c>
      <c r="AE27" s="432">
        <v>0.3816755057075951</v>
      </c>
    </row>
    <row r="28" spans="2:31" ht="12.75">
      <c r="B28" s="134" t="s">
        <v>113</v>
      </c>
      <c r="C28" s="430">
        <v>0</v>
      </c>
      <c r="D28" s="149">
        <v>0</v>
      </c>
      <c r="E28" s="431">
        <v>0</v>
      </c>
      <c r="F28" s="432">
        <v>0</v>
      </c>
      <c r="G28" s="425"/>
      <c r="H28" s="430">
        <v>0</v>
      </c>
      <c r="I28" s="149">
        <v>0</v>
      </c>
      <c r="J28" s="431">
        <v>0</v>
      </c>
      <c r="K28" s="432">
        <v>0</v>
      </c>
      <c r="M28" s="430">
        <v>3</v>
      </c>
      <c r="N28" s="149">
        <v>437705</v>
      </c>
      <c r="O28" s="431">
        <v>1.4258080767274852</v>
      </c>
      <c r="P28" s="432">
        <v>0.9498800564986744</v>
      </c>
      <c r="R28" s="430">
        <v>0</v>
      </c>
      <c r="S28" s="149">
        <v>0</v>
      </c>
      <c r="T28" s="431">
        <v>0</v>
      </c>
      <c r="U28" s="432">
        <v>0</v>
      </c>
      <c r="W28" s="430"/>
      <c r="X28" s="149"/>
      <c r="Y28" s="431"/>
      <c r="Z28" s="432"/>
      <c r="AB28" s="430">
        <v>3</v>
      </c>
      <c r="AC28" s="149">
        <v>437705</v>
      </c>
      <c r="AD28" s="431">
        <v>0.9948170034122223</v>
      </c>
      <c r="AE28" s="432">
        <v>0.39648556213698755</v>
      </c>
    </row>
    <row r="29" spans="2:31" ht="12.75">
      <c r="B29" s="135" t="s">
        <v>114</v>
      </c>
      <c r="C29" s="433"/>
      <c r="D29" s="152"/>
      <c r="E29" s="434"/>
      <c r="F29" s="435"/>
      <c r="G29" s="425"/>
      <c r="H29" s="433"/>
      <c r="I29" s="152"/>
      <c r="J29" s="434"/>
      <c r="K29" s="435"/>
      <c r="M29" s="433">
        <v>0</v>
      </c>
      <c r="N29" s="152">
        <v>0</v>
      </c>
      <c r="O29" s="434">
        <v>0</v>
      </c>
      <c r="P29" s="435">
        <v>0</v>
      </c>
      <c r="R29" s="433"/>
      <c r="S29" s="152"/>
      <c r="T29" s="434"/>
      <c r="U29" s="435"/>
      <c r="W29" s="433"/>
      <c r="X29" s="152"/>
      <c r="Y29" s="434"/>
      <c r="Z29" s="435"/>
      <c r="AB29" s="433">
        <v>0</v>
      </c>
      <c r="AC29" s="152">
        <v>0</v>
      </c>
      <c r="AD29" s="434">
        <v>0</v>
      </c>
      <c r="AE29" s="435">
        <v>0</v>
      </c>
    </row>
    <row r="30" spans="5:31" ht="12.75">
      <c r="E30" s="426"/>
      <c r="F30" s="426"/>
      <c r="J30" s="426"/>
      <c r="K30" s="426"/>
      <c r="O30" s="426"/>
      <c r="P30" s="426"/>
      <c r="T30" s="426"/>
      <c r="U30" s="426"/>
      <c r="Y30" s="426"/>
      <c r="Z30" s="426"/>
      <c r="AC30" s="128"/>
      <c r="AD30" s="426"/>
      <c r="AE30" s="426"/>
    </row>
    <row r="31" spans="1:31" ht="12.75">
      <c r="A31" s="139" t="s">
        <v>28</v>
      </c>
      <c r="B31" s="133" t="s">
        <v>115</v>
      </c>
      <c r="C31" s="427">
        <v>20</v>
      </c>
      <c r="D31" s="146">
        <v>6643045</v>
      </c>
      <c r="E31" s="428">
        <v>0.7555004208137344</v>
      </c>
      <c r="F31" s="429">
        <v>0.6435664865280816</v>
      </c>
      <c r="G31" s="425"/>
      <c r="H31" s="427">
        <v>37</v>
      </c>
      <c r="I31" s="146">
        <v>8220269</v>
      </c>
      <c r="J31" s="428">
        <v>0.9482085905135574</v>
      </c>
      <c r="K31" s="429">
        <v>0.6262408513288533</v>
      </c>
      <c r="M31" s="427">
        <v>60</v>
      </c>
      <c r="N31" s="146">
        <v>12550410</v>
      </c>
      <c r="O31" s="428">
        <v>0.7907724238677247</v>
      </c>
      <c r="P31" s="429">
        <v>0.6070979682899214</v>
      </c>
      <c r="R31" s="427">
        <v>14</v>
      </c>
      <c r="S31" s="146">
        <v>3977000</v>
      </c>
      <c r="T31" s="428">
        <v>0.7454643817118423</v>
      </c>
      <c r="U31" s="429">
        <v>0.642865622520958</v>
      </c>
      <c r="W31" s="427">
        <v>15</v>
      </c>
      <c r="X31" s="146">
        <v>5194500</v>
      </c>
      <c r="Y31" s="428">
        <v>0.9549924778425826</v>
      </c>
      <c r="Z31" s="429">
        <v>1.2181890944498086</v>
      </c>
      <c r="AB31" s="427">
        <v>146</v>
      </c>
      <c r="AC31" s="146">
        <v>36585224</v>
      </c>
      <c r="AD31" s="428">
        <v>0.8302255791136164</v>
      </c>
      <c r="AE31" s="429">
        <v>0.6704043588053941</v>
      </c>
    </row>
    <row r="32" spans="2:31" ht="12.75">
      <c r="B32" s="134" t="s">
        <v>116</v>
      </c>
      <c r="C32" s="430">
        <v>31</v>
      </c>
      <c r="D32" s="149">
        <v>9136540</v>
      </c>
      <c r="E32" s="431">
        <v>0.9510973362218021</v>
      </c>
      <c r="F32" s="432">
        <v>0.7256335395013407</v>
      </c>
      <c r="G32" s="425"/>
      <c r="H32" s="430">
        <v>41</v>
      </c>
      <c r="I32" s="149">
        <v>7191253</v>
      </c>
      <c r="J32" s="431">
        <v>0.7964841248086684</v>
      </c>
      <c r="K32" s="432">
        <v>0.4619637689380998</v>
      </c>
      <c r="M32" s="430">
        <v>64</v>
      </c>
      <c r="N32" s="149">
        <v>15108091</v>
      </c>
      <c r="O32" s="431">
        <v>0.7275661513944656</v>
      </c>
      <c r="P32" s="432">
        <v>0.6676288786700055</v>
      </c>
      <c r="R32" s="430">
        <v>16</v>
      </c>
      <c r="S32" s="149">
        <v>4150000</v>
      </c>
      <c r="T32" s="431">
        <v>0.48951879079068006</v>
      </c>
      <c r="U32" s="432">
        <v>0.38067538963787195</v>
      </c>
      <c r="W32" s="430">
        <v>14</v>
      </c>
      <c r="X32" s="149">
        <v>7167842</v>
      </c>
      <c r="Y32" s="431">
        <v>0.7182717560666994</v>
      </c>
      <c r="Z32" s="432">
        <v>1.3177862853922968</v>
      </c>
      <c r="AB32" s="430">
        <v>166</v>
      </c>
      <c r="AC32" s="149">
        <v>42753726</v>
      </c>
      <c r="AD32" s="431">
        <v>0.740373824556197</v>
      </c>
      <c r="AE32" s="432">
        <v>0.6368958780174968</v>
      </c>
    </row>
    <row r="33" spans="2:31" ht="12.75">
      <c r="B33" s="134" t="s">
        <v>117</v>
      </c>
      <c r="C33" s="430">
        <v>30</v>
      </c>
      <c r="D33" s="149">
        <v>8717597</v>
      </c>
      <c r="E33" s="431">
        <v>0.8713604725329731</v>
      </c>
      <c r="F33" s="432">
        <v>0.6712690885748952</v>
      </c>
      <c r="G33" s="425"/>
      <c r="H33" s="430">
        <v>52</v>
      </c>
      <c r="I33" s="149">
        <v>10590680</v>
      </c>
      <c r="J33" s="431">
        <v>0.8087194891132352</v>
      </c>
      <c r="K33" s="432">
        <v>0.6041848432953829</v>
      </c>
      <c r="M33" s="430">
        <v>91</v>
      </c>
      <c r="N33" s="149">
        <v>18569726</v>
      </c>
      <c r="O33" s="431">
        <v>0.9788603806260955</v>
      </c>
      <c r="P33" s="432">
        <v>0.7939791703246633</v>
      </c>
      <c r="R33" s="430">
        <v>49</v>
      </c>
      <c r="S33" s="149">
        <v>10427000</v>
      </c>
      <c r="T33" s="431">
        <v>1.1552255330304955</v>
      </c>
      <c r="U33" s="432">
        <v>0.7811940441559533</v>
      </c>
      <c r="W33" s="430">
        <v>27</v>
      </c>
      <c r="X33" s="149">
        <v>10522000</v>
      </c>
      <c r="Y33" s="431">
        <v>1.1645812036593763</v>
      </c>
      <c r="Z33" s="432">
        <v>1.624782966776437</v>
      </c>
      <c r="AB33" s="430">
        <v>249</v>
      </c>
      <c r="AC33" s="149">
        <v>58827003</v>
      </c>
      <c r="AD33" s="431">
        <v>0.9677659697805799</v>
      </c>
      <c r="AE33" s="432">
        <v>0.7979004157644474</v>
      </c>
    </row>
    <row r="34" spans="2:31" ht="12.75">
      <c r="B34" s="134" t="s">
        <v>118</v>
      </c>
      <c r="C34" s="430">
        <v>43</v>
      </c>
      <c r="D34" s="149">
        <v>12288042</v>
      </c>
      <c r="E34" s="431">
        <v>0.5977123463462252</v>
      </c>
      <c r="F34" s="432">
        <v>0.48047791328447637</v>
      </c>
      <c r="G34" s="425"/>
      <c r="H34" s="430">
        <v>116</v>
      </c>
      <c r="I34" s="149">
        <v>25086850</v>
      </c>
      <c r="J34" s="431">
        <v>0.767608204302362</v>
      </c>
      <c r="K34" s="432">
        <v>0.6873733611655256</v>
      </c>
      <c r="M34" s="430">
        <v>206</v>
      </c>
      <c r="N34" s="149">
        <v>43785548</v>
      </c>
      <c r="O34" s="431">
        <v>0.8818632829372739</v>
      </c>
      <c r="P34" s="432">
        <v>0.808915507066606</v>
      </c>
      <c r="R34" s="430">
        <v>95</v>
      </c>
      <c r="S34" s="149">
        <v>31959792</v>
      </c>
      <c r="T34" s="431">
        <v>0.9887407408332555</v>
      </c>
      <c r="U34" s="432">
        <v>1.1503833629501359</v>
      </c>
      <c r="W34" s="430">
        <v>51</v>
      </c>
      <c r="X34" s="149">
        <v>9460000</v>
      </c>
      <c r="Y34" s="431">
        <v>1.0134287254583836</v>
      </c>
      <c r="Z34" s="432">
        <v>0.7576123114142121</v>
      </c>
      <c r="AB34" s="430">
        <v>511</v>
      </c>
      <c r="AC34" s="149">
        <v>122580232</v>
      </c>
      <c r="AD34" s="431">
        <v>0.8473423397698816</v>
      </c>
      <c r="AE34" s="432">
        <v>0.78341808305676</v>
      </c>
    </row>
    <row r="35" spans="2:31" ht="12.75">
      <c r="B35" s="134" t="s">
        <v>119</v>
      </c>
      <c r="C35" s="430">
        <v>116</v>
      </c>
      <c r="D35" s="149">
        <v>24829531</v>
      </c>
      <c r="E35" s="431">
        <v>0.7103135568975826</v>
      </c>
      <c r="F35" s="432">
        <v>0.48687489704746545</v>
      </c>
      <c r="G35" s="425"/>
      <c r="H35" s="430">
        <v>346</v>
      </c>
      <c r="I35" s="149">
        <v>71843671</v>
      </c>
      <c r="J35" s="431">
        <v>0.7831165326515086</v>
      </c>
      <c r="K35" s="432">
        <v>0.673323347204333</v>
      </c>
      <c r="M35" s="430">
        <v>426</v>
      </c>
      <c r="N35" s="149">
        <v>99262844</v>
      </c>
      <c r="O35" s="431">
        <v>0.7500270564337793</v>
      </c>
      <c r="P35" s="432">
        <v>0.8405482541336963</v>
      </c>
      <c r="R35" s="430">
        <v>259</v>
      </c>
      <c r="S35" s="149">
        <v>61129889</v>
      </c>
      <c r="T35" s="431">
        <v>0.7990535750304854</v>
      </c>
      <c r="U35" s="432">
        <v>0.9266335767717105</v>
      </c>
      <c r="W35" s="430">
        <v>170</v>
      </c>
      <c r="X35" s="149">
        <v>32193597</v>
      </c>
      <c r="Y35" s="431">
        <v>0.9312530892266997</v>
      </c>
      <c r="Z35" s="432">
        <v>0.8815675912180753</v>
      </c>
      <c r="AB35" s="430">
        <v>1317</v>
      </c>
      <c r="AC35" s="149">
        <v>289259532</v>
      </c>
      <c r="AD35" s="431">
        <v>0.7840241150339469</v>
      </c>
      <c r="AE35" s="432">
        <v>0.7646718802566667</v>
      </c>
    </row>
    <row r="36" spans="2:31" ht="12.75">
      <c r="B36" s="134" t="s">
        <v>34</v>
      </c>
      <c r="C36" s="430">
        <v>79</v>
      </c>
      <c r="D36" s="149">
        <v>22325275</v>
      </c>
      <c r="E36" s="431">
        <v>0.5427495292678358</v>
      </c>
      <c r="F36" s="432">
        <v>0.5587854040891327</v>
      </c>
      <c r="G36" s="425"/>
      <c r="H36" s="430">
        <v>258</v>
      </c>
      <c r="I36" s="149">
        <v>44437431</v>
      </c>
      <c r="J36" s="431">
        <v>0.8387538069019689</v>
      </c>
      <c r="K36" s="432">
        <v>0.7353078884740607</v>
      </c>
      <c r="M36" s="430">
        <v>390</v>
      </c>
      <c r="N36" s="149">
        <v>82319739</v>
      </c>
      <c r="O36" s="431">
        <v>0.8157245250590377</v>
      </c>
      <c r="P36" s="432">
        <v>0.8238743977524515</v>
      </c>
      <c r="R36" s="430">
        <v>291</v>
      </c>
      <c r="S36" s="149">
        <v>64562338</v>
      </c>
      <c r="T36" s="431">
        <v>0.7671918397995864</v>
      </c>
      <c r="U36" s="432">
        <v>1.000716649604749</v>
      </c>
      <c r="W36" s="430">
        <v>170</v>
      </c>
      <c r="X36" s="149">
        <v>38823687</v>
      </c>
      <c r="Y36" s="431">
        <v>0.9736692904763014</v>
      </c>
      <c r="Z36" s="432">
        <v>1.2918999174987211</v>
      </c>
      <c r="AB36" s="430">
        <v>1188</v>
      </c>
      <c r="AC36" s="149">
        <v>252468470</v>
      </c>
      <c r="AD36" s="431">
        <v>0.7999140240556306</v>
      </c>
      <c r="AE36" s="432">
        <v>0.8561952495791129</v>
      </c>
    </row>
    <row r="37" spans="2:31" ht="12.75">
      <c r="B37" s="134" t="s">
        <v>35</v>
      </c>
      <c r="C37" s="430">
        <v>113</v>
      </c>
      <c r="D37" s="149">
        <v>19837137</v>
      </c>
      <c r="E37" s="431">
        <v>0.602507347657084</v>
      </c>
      <c r="F37" s="432">
        <v>0.4307005772139647</v>
      </c>
      <c r="G37" s="425"/>
      <c r="H37" s="430">
        <v>320</v>
      </c>
      <c r="I37" s="149">
        <v>60403014</v>
      </c>
      <c r="J37" s="431">
        <v>0.707142142266349</v>
      </c>
      <c r="K37" s="432">
        <v>0.7228801739673387</v>
      </c>
      <c r="M37" s="430">
        <v>501</v>
      </c>
      <c r="N37" s="149">
        <v>99382735</v>
      </c>
      <c r="O37" s="431">
        <v>0.788020738377953</v>
      </c>
      <c r="P37" s="432">
        <v>0.7792886454247467</v>
      </c>
      <c r="R37" s="430">
        <v>326</v>
      </c>
      <c r="S37" s="149">
        <v>44687517</v>
      </c>
      <c r="T37" s="431">
        <v>0.738763854994891</v>
      </c>
      <c r="U37" s="432">
        <v>0.6781987575667171</v>
      </c>
      <c r="W37" s="430">
        <v>254</v>
      </c>
      <c r="X37" s="149">
        <v>40647216</v>
      </c>
      <c r="Y37" s="431">
        <v>1.001348864227935</v>
      </c>
      <c r="Z37" s="432">
        <v>0.9327297168719845</v>
      </c>
      <c r="AB37" s="430">
        <v>1514</v>
      </c>
      <c r="AC37" s="149">
        <v>264957619</v>
      </c>
      <c r="AD37" s="431">
        <v>0.7682234020444583</v>
      </c>
      <c r="AE37" s="432">
        <v>0.7227096336241259</v>
      </c>
    </row>
    <row r="38" spans="2:31" ht="12.75">
      <c r="B38" s="135" t="s">
        <v>36</v>
      </c>
      <c r="C38" s="433">
        <v>80</v>
      </c>
      <c r="D38" s="152">
        <v>32251188</v>
      </c>
      <c r="E38" s="434">
        <v>0.5517517255173099</v>
      </c>
      <c r="F38" s="435">
        <v>0.6370666257390587</v>
      </c>
      <c r="G38" s="425"/>
      <c r="H38" s="433">
        <v>201</v>
      </c>
      <c r="I38" s="152">
        <v>35969208</v>
      </c>
      <c r="J38" s="434">
        <v>0.716944625979262</v>
      </c>
      <c r="K38" s="435">
        <v>0.7337620660293114</v>
      </c>
      <c r="M38" s="433">
        <v>286</v>
      </c>
      <c r="N38" s="152">
        <v>43439827</v>
      </c>
      <c r="O38" s="434">
        <v>0.8439851787939813</v>
      </c>
      <c r="P38" s="435">
        <v>0.7514427937319283</v>
      </c>
      <c r="R38" s="433">
        <v>174</v>
      </c>
      <c r="S38" s="152">
        <v>23471366</v>
      </c>
      <c r="T38" s="434">
        <v>0.7260699548371954</v>
      </c>
      <c r="U38" s="435">
        <v>0.7081565691942985</v>
      </c>
      <c r="W38" s="433">
        <v>134</v>
      </c>
      <c r="X38" s="152">
        <v>27997726</v>
      </c>
      <c r="Y38" s="434">
        <v>0.9601387644131869</v>
      </c>
      <c r="Z38" s="435">
        <v>1.2079258169744935</v>
      </c>
      <c r="AB38" s="433">
        <v>875</v>
      </c>
      <c r="AC38" s="152">
        <v>163129315</v>
      </c>
      <c r="AD38" s="434">
        <v>0.7652433434914208</v>
      </c>
      <c r="AE38" s="435">
        <v>0.7630852542255991</v>
      </c>
    </row>
    <row r="39" spans="5:31" ht="12.75">
      <c r="E39" s="426"/>
      <c r="F39" s="426"/>
      <c r="J39" s="426"/>
      <c r="K39" s="426"/>
      <c r="O39" s="426"/>
      <c r="P39" s="426"/>
      <c r="T39" s="426"/>
      <c r="U39" s="426"/>
      <c r="Y39" s="426"/>
      <c r="Z39" s="426"/>
      <c r="AC39" s="128"/>
      <c r="AD39" s="426"/>
      <c r="AE39" s="426"/>
    </row>
    <row r="40" spans="1:31" ht="12.75">
      <c r="A40" s="139" t="s">
        <v>218</v>
      </c>
      <c r="B40" s="136" t="s">
        <v>163</v>
      </c>
      <c r="C40" s="442">
        <v>361</v>
      </c>
      <c r="D40" s="155">
        <v>46358511</v>
      </c>
      <c r="E40" s="428">
        <v>0.6783872311362076</v>
      </c>
      <c r="F40" s="429">
        <v>0.6678035508622169</v>
      </c>
      <c r="G40" s="425"/>
      <c r="H40" s="427">
        <v>1088</v>
      </c>
      <c r="I40" s="146">
        <v>131943026</v>
      </c>
      <c r="J40" s="428">
        <v>0.789726884280357</v>
      </c>
      <c r="K40" s="429">
        <v>0.7738577377091643</v>
      </c>
      <c r="M40" s="427">
        <v>1600</v>
      </c>
      <c r="N40" s="146">
        <v>194878332</v>
      </c>
      <c r="O40" s="428">
        <v>0.8300554013214553</v>
      </c>
      <c r="P40" s="429">
        <v>0.8266563752659516</v>
      </c>
      <c r="R40" s="427">
        <v>1009</v>
      </c>
      <c r="S40" s="146">
        <v>118283269</v>
      </c>
      <c r="T40" s="428">
        <v>0.7954470847786691</v>
      </c>
      <c r="U40" s="429">
        <v>0.798871415562553</v>
      </c>
      <c r="W40" s="427">
        <v>668</v>
      </c>
      <c r="X40" s="146">
        <v>79965730</v>
      </c>
      <c r="Y40" s="428">
        <v>0.9880371625625735</v>
      </c>
      <c r="Z40" s="429">
        <v>0.9926196481488354</v>
      </c>
      <c r="AB40" s="427">
        <v>4726</v>
      </c>
      <c r="AC40" s="146">
        <v>571428868</v>
      </c>
      <c r="AD40" s="428">
        <v>0.8173677566247827</v>
      </c>
      <c r="AE40" s="429">
        <v>0.8113592831441885</v>
      </c>
    </row>
    <row r="41" spans="1:31" ht="12.75">
      <c r="A41" s="139" t="s">
        <v>219</v>
      </c>
      <c r="B41" s="137" t="s">
        <v>164</v>
      </c>
      <c r="C41" s="443">
        <v>89</v>
      </c>
      <c r="D41" s="156">
        <v>27679823</v>
      </c>
      <c r="E41" s="431">
        <v>0.5901933864785874</v>
      </c>
      <c r="F41" s="432">
        <v>0.5955614808809382</v>
      </c>
      <c r="G41" s="425"/>
      <c r="H41" s="430">
        <v>202</v>
      </c>
      <c r="I41" s="149">
        <v>59114041</v>
      </c>
      <c r="J41" s="431">
        <v>0.7844140805434006</v>
      </c>
      <c r="K41" s="432">
        <v>0.7794875632576658</v>
      </c>
      <c r="M41" s="430">
        <v>276</v>
      </c>
      <c r="N41" s="149">
        <v>79417915</v>
      </c>
      <c r="O41" s="431">
        <v>0.7293434669442087</v>
      </c>
      <c r="P41" s="432">
        <v>0.7227192814183456</v>
      </c>
      <c r="R41" s="430">
        <v>145</v>
      </c>
      <c r="S41" s="149">
        <v>41131446</v>
      </c>
      <c r="T41" s="431">
        <v>0.6809435322644908</v>
      </c>
      <c r="U41" s="432">
        <v>0.6896899559044005</v>
      </c>
      <c r="W41" s="430">
        <v>107</v>
      </c>
      <c r="X41" s="149">
        <v>30482092</v>
      </c>
      <c r="Y41" s="431">
        <v>0.8484852041229358</v>
      </c>
      <c r="Z41" s="432">
        <v>0.8442163433455528</v>
      </c>
      <c r="AB41" s="430">
        <v>819</v>
      </c>
      <c r="AC41" s="149">
        <v>237825317</v>
      </c>
      <c r="AD41" s="431">
        <v>0.7274926757076587</v>
      </c>
      <c r="AE41" s="432">
        <v>0.7251963534039342</v>
      </c>
    </row>
    <row r="42" spans="2:31" ht="12.75">
      <c r="B42" s="137" t="s">
        <v>165</v>
      </c>
      <c r="C42" s="443">
        <v>41</v>
      </c>
      <c r="D42" s="156">
        <v>24408355</v>
      </c>
      <c r="E42" s="431">
        <v>0.5362961997920475</v>
      </c>
      <c r="F42" s="432">
        <v>0.531759628289929</v>
      </c>
      <c r="G42" s="425"/>
      <c r="H42" s="430">
        <v>53</v>
      </c>
      <c r="I42" s="149">
        <v>29671037</v>
      </c>
      <c r="J42" s="431">
        <v>0.5049150142290744</v>
      </c>
      <c r="K42" s="432">
        <v>0.4992927805413281</v>
      </c>
      <c r="M42" s="430">
        <v>101</v>
      </c>
      <c r="N42" s="149">
        <v>58395393</v>
      </c>
      <c r="O42" s="431">
        <v>0.7130799334364553</v>
      </c>
      <c r="P42" s="432">
        <v>0.7223353795717119</v>
      </c>
      <c r="R42" s="430">
        <v>47</v>
      </c>
      <c r="S42" s="149">
        <v>26265500</v>
      </c>
      <c r="T42" s="431">
        <v>0.7260639501679115</v>
      </c>
      <c r="U42" s="432">
        <v>0.7372615742885726</v>
      </c>
      <c r="W42" s="430">
        <v>40</v>
      </c>
      <c r="X42" s="149">
        <v>24073022</v>
      </c>
      <c r="Y42" s="431">
        <v>0.9615391549561205</v>
      </c>
      <c r="Z42" s="432">
        <v>1.0334190448823806</v>
      </c>
      <c r="AB42" s="430">
        <v>282</v>
      </c>
      <c r="AC42" s="149">
        <v>162813307</v>
      </c>
      <c r="AD42" s="431">
        <v>0.6567454476303614</v>
      </c>
      <c r="AE42" s="432">
        <v>0.6643000189992377</v>
      </c>
    </row>
    <row r="43" spans="2:31" ht="12.75">
      <c r="B43" s="137" t="s">
        <v>45</v>
      </c>
      <c r="C43" s="443">
        <v>15</v>
      </c>
      <c r="D43" s="156">
        <v>16315922</v>
      </c>
      <c r="E43" s="431">
        <v>0.3794397294139402</v>
      </c>
      <c r="F43" s="432">
        <v>0.32007723045481257</v>
      </c>
      <c r="G43" s="425"/>
      <c r="H43" s="430">
        <v>26</v>
      </c>
      <c r="I43" s="149">
        <v>34014272</v>
      </c>
      <c r="J43" s="431">
        <v>0.6109450332753548</v>
      </c>
      <c r="K43" s="432">
        <v>0.6472788042804478</v>
      </c>
      <c r="M43" s="430">
        <v>42</v>
      </c>
      <c r="N43" s="149">
        <v>50727280</v>
      </c>
      <c r="O43" s="431">
        <v>0.745471923663675</v>
      </c>
      <c r="P43" s="432">
        <v>0.7462281592947207</v>
      </c>
      <c r="R43" s="430">
        <v>19</v>
      </c>
      <c r="S43" s="149">
        <v>22184687</v>
      </c>
      <c r="T43" s="431">
        <v>0.7511820244513727</v>
      </c>
      <c r="U43" s="432">
        <v>0.7368465525080271</v>
      </c>
      <c r="W43" s="430">
        <v>15</v>
      </c>
      <c r="X43" s="149">
        <v>17997161</v>
      </c>
      <c r="Y43" s="431">
        <v>1.078313603788763</v>
      </c>
      <c r="Z43" s="432">
        <v>1.1019549357483993</v>
      </c>
      <c r="AB43" s="430">
        <v>117</v>
      </c>
      <c r="AC43" s="149">
        <v>141239322</v>
      </c>
      <c r="AD43" s="431">
        <v>0.6586605816186802</v>
      </c>
      <c r="AE43" s="432">
        <v>0.6480577857946631</v>
      </c>
    </row>
    <row r="44" spans="2:31" ht="12.75">
      <c r="B44" s="137" t="s">
        <v>46</v>
      </c>
      <c r="C44" s="443">
        <v>5</v>
      </c>
      <c r="D44" s="156">
        <v>16265744</v>
      </c>
      <c r="E44" s="431">
        <v>0.890288025982166</v>
      </c>
      <c r="F44" s="432">
        <v>0.894390063742564</v>
      </c>
      <c r="G44" s="425"/>
      <c r="H44" s="430">
        <v>1</v>
      </c>
      <c r="I44" s="149">
        <v>4000000</v>
      </c>
      <c r="J44" s="431">
        <v>0.23946417496210512</v>
      </c>
      <c r="K44" s="432">
        <v>0.29146232330378685</v>
      </c>
      <c r="M44" s="430">
        <v>2</v>
      </c>
      <c r="N44" s="149">
        <v>6000000</v>
      </c>
      <c r="O44" s="431">
        <v>0.35734450154015485</v>
      </c>
      <c r="P44" s="432">
        <v>0.3345717639146466</v>
      </c>
      <c r="R44" s="430">
        <v>2</v>
      </c>
      <c r="S44" s="149">
        <v>6500000</v>
      </c>
      <c r="T44" s="431">
        <v>1.094229580308244</v>
      </c>
      <c r="U44" s="432">
        <v>1.0817566720319005</v>
      </c>
      <c r="W44" s="430">
        <v>3</v>
      </c>
      <c r="X44" s="149">
        <v>9367127</v>
      </c>
      <c r="Y44" s="431">
        <v>2.907624761332468</v>
      </c>
      <c r="Z44" s="432">
        <v>2.889850870818976</v>
      </c>
      <c r="AB44" s="430">
        <v>13</v>
      </c>
      <c r="AC44" s="149">
        <v>42132871</v>
      </c>
      <c r="AD44" s="431">
        <v>0.7123861483637308</v>
      </c>
      <c r="AE44" s="432">
        <v>0.712982751191222</v>
      </c>
    </row>
    <row r="45" spans="1:31" ht="12.75">
      <c r="A45" s="421"/>
      <c r="B45" s="138" t="s">
        <v>47</v>
      </c>
      <c r="C45" s="444">
        <v>1</v>
      </c>
      <c r="D45" s="157">
        <v>5000000</v>
      </c>
      <c r="E45" s="434">
        <v>0.4345766571494382</v>
      </c>
      <c r="F45" s="435">
        <v>0.2754919896370199</v>
      </c>
      <c r="G45" s="425"/>
      <c r="H45" s="433">
        <v>1</v>
      </c>
      <c r="I45" s="152">
        <v>5000000</v>
      </c>
      <c r="J45" s="434">
        <v>0.7627066935139433</v>
      </c>
      <c r="K45" s="435">
        <v>0.4810237026707669</v>
      </c>
      <c r="M45" s="433">
        <v>3</v>
      </c>
      <c r="N45" s="152">
        <v>25000000</v>
      </c>
      <c r="O45" s="434">
        <v>1.9466488440150276</v>
      </c>
      <c r="P45" s="435">
        <v>2.121524221600722</v>
      </c>
      <c r="R45" s="433">
        <v>2</v>
      </c>
      <c r="S45" s="152">
        <v>30000000</v>
      </c>
      <c r="T45" s="434">
        <v>1.8808836391336656</v>
      </c>
      <c r="U45" s="435">
        <v>3.6159758883187005</v>
      </c>
      <c r="W45" s="433">
        <v>2</v>
      </c>
      <c r="X45" s="152">
        <v>10121436</v>
      </c>
      <c r="Y45" s="434">
        <v>5.9292638818890655</v>
      </c>
      <c r="Z45" s="435">
        <v>4.117643911673112</v>
      </c>
      <c r="AB45" s="433">
        <v>9</v>
      </c>
      <c r="AC45" s="152">
        <v>75121436</v>
      </c>
      <c r="AD45" s="434">
        <v>1.3732155826401165</v>
      </c>
      <c r="AE45" s="435">
        <v>1.470593111876351</v>
      </c>
    </row>
    <row r="46" spans="1:31" ht="12.75">
      <c r="A46" s="421"/>
      <c r="E46" s="426"/>
      <c r="F46" s="426"/>
      <c r="J46" s="426"/>
      <c r="K46" s="426"/>
      <c r="O46" s="426"/>
      <c r="P46" s="426"/>
      <c r="T46" s="426"/>
      <c r="U46" s="426"/>
      <c r="Y46" s="426"/>
      <c r="Z46" s="426"/>
      <c r="AC46" s="128"/>
      <c r="AD46" s="426"/>
      <c r="AE46" s="426"/>
    </row>
    <row r="47" spans="1:31" ht="12.75">
      <c r="A47" s="139" t="s">
        <v>224</v>
      </c>
      <c r="B47" s="133" t="s">
        <v>220</v>
      </c>
      <c r="C47" s="427">
        <v>224</v>
      </c>
      <c r="D47" s="146">
        <v>57466221</v>
      </c>
      <c r="E47" s="428">
        <v>0.5700417122933327</v>
      </c>
      <c r="F47" s="429">
        <v>0.48219315994830053</v>
      </c>
      <c r="G47" s="425"/>
      <c r="H47" s="427">
        <v>676</v>
      </c>
      <c r="I47" s="146">
        <v>132311394</v>
      </c>
      <c r="J47" s="428">
        <v>0.7686267482563113</v>
      </c>
      <c r="K47" s="429">
        <v>0.709847994357889</v>
      </c>
      <c r="M47" s="427">
        <v>1225</v>
      </c>
      <c r="N47" s="146">
        <v>255455233</v>
      </c>
      <c r="O47" s="428">
        <v>0.8024284984295597</v>
      </c>
      <c r="P47" s="429">
        <v>0.8050012171798065</v>
      </c>
      <c r="R47" s="427">
        <v>620</v>
      </c>
      <c r="S47" s="146">
        <v>133563084</v>
      </c>
      <c r="T47" s="428">
        <v>0.7983509777269217</v>
      </c>
      <c r="U47" s="429">
        <v>0.9458151819152512</v>
      </c>
      <c r="W47" s="427">
        <v>400</v>
      </c>
      <c r="X47" s="146">
        <v>82758416</v>
      </c>
      <c r="Y47" s="428">
        <v>0.9371198441569708</v>
      </c>
      <c r="Z47" s="429">
        <v>1.0338982157735799</v>
      </c>
      <c r="AB47" s="427">
        <v>3145</v>
      </c>
      <c r="AC47" s="146">
        <v>661554348</v>
      </c>
      <c r="AD47" s="428">
        <v>0.7857587809336316</v>
      </c>
      <c r="AE47" s="429">
        <v>0.783678240328527</v>
      </c>
    </row>
    <row r="48" spans="1:31" ht="12.75">
      <c r="A48" s="139" t="s">
        <v>225</v>
      </c>
      <c r="B48" s="135" t="s">
        <v>221</v>
      </c>
      <c r="C48" s="433">
        <v>288</v>
      </c>
      <c r="D48" s="152">
        <v>78562134</v>
      </c>
      <c r="E48" s="434">
        <v>0.6958399330408722</v>
      </c>
      <c r="F48" s="435">
        <v>0.6046436940094513</v>
      </c>
      <c r="G48" s="425"/>
      <c r="H48" s="433">
        <v>695</v>
      </c>
      <c r="I48" s="152">
        <v>131430982</v>
      </c>
      <c r="J48" s="434">
        <v>0.764803441883992</v>
      </c>
      <c r="K48" s="435">
        <v>0.6704375835328903</v>
      </c>
      <c r="M48" s="433">
        <v>799</v>
      </c>
      <c r="N48" s="152">
        <v>158963687</v>
      </c>
      <c r="O48" s="434">
        <v>0.8115744204500221</v>
      </c>
      <c r="P48" s="435">
        <v>0.7685591973059477</v>
      </c>
      <c r="R48" s="433">
        <v>604</v>
      </c>
      <c r="S48" s="152">
        <v>110801818</v>
      </c>
      <c r="T48" s="434">
        <v>0.7571529264888223</v>
      </c>
      <c r="U48" s="435">
        <v>0.7562004874912269</v>
      </c>
      <c r="W48" s="433">
        <v>435</v>
      </c>
      <c r="X48" s="152">
        <v>89248152</v>
      </c>
      <c r="Y48" s="434">
        <v>1.0063971461075565</v>
      </c>
      <c r="Z48" s="435">
        <v>1.0890793900859788</v>
      </c>
      <c r="AB48" s="433">
        <v>2821</v>
      </c>
      <c r="AC48" s="152">
        <v>569006773</v>
      </c>
      <c r="AD48" s="434">
        <v>0.7975494350740008</v>
      </c>
      <c r="AE48" s="435">
        <v>0.7474392812585093</v>
      </c>
    </row>
    <row r="51" ht="12.75">
      <c r="B51" s="130" t="s">
        <v>247</v>
      </c>
    </row>
    <row r="52" ht="12.75">
      <c r="B52" s="130" t="s">
        <v>272</v>
      </c>
    </row>
  </sheetData>
  <sheetProtection/>
  <mergeCells count="20">
    <mergeCell ref="A6:AB6"/>
    <mergeCell ref="T10:U10"/>
    <mergeCell ref="W10:X10"/>
    <mergeCell ref="A7:AA7"/>
    <mergeCell ref="C8:F8"/>
    <mergeCell ref="H8:K8"/>
    <mergeCell ref="M8:P8"/>
    <mergeCell ref="R8:U8"/>
    <mergeCell ref="W8:Z8"/>
    <mergeCell ref="Y10:Z10"/>
    <mergeCell ref="AB10:AC10"/>
    <mergeCell ref="AD10:AE10"/>
    <mergeCell ref="AB8:AE8"/>
    <mergeCell ref="C10:D10"/>
    <mergeCell ref="E10:F10"/>
    <mergeCell ref="H10:I10"/>
    <mergeCell ref="J10:K10"/>
    <mergeCell ref="M10:N10"/>
    <mergeCell ref="O10:P10"/>
    <mergeCell ref="R10:S10"/>
  </mergeCells>
  <printOptions/>
  <pageMargins left="0.75" right="0.75" top="1" bottom="1" header="0.5" footer="0.5"/>
  <pageSetup fitToHeight="4" fitToWidth="1" horizontalDpi="600" verticalDpi="600" orientation="landscape" scale="41" r:id="rId1"/>
  <headerFooter alignWithMargins="0">
    <oddFooter>&amp;L&amp;F&amp;R&amp;"Arial,Italic"&amp;A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E50"/>
  <sheetViews>
    <sheetView zoomScale="85" zoomScaleNormal="85" zoomScaleSheetLayoutView="85" zoomScalePageLayoutView="0" workbookViewId="0" topLeftCell="A4">
      <selection activeCell="B51" sqref="B51"/>
    </sheetView>
  </sheetViews>
  <sheetFormatPr defaultColWidth="9.140625" defaultRowHeight="12.75"/>
  <cols>
    <col min="1" max="1" width="11.8515625" style="139" bestFit="1" customWidth="1"/>
    <col min="2" max="2" width="20.140625" style="130" bestFit="1" customWidth="1"/>
    <col min="3" max="3" width="9.140625" style="419" customWidth="1"/>
    <col min="4" max="4" width="12.28125" style="128" bestFit="1" customWidth="1"/>
    <col min="5" max="5" width="9.00390625" style="420" bestFit="1" customWidth="1"/>
    <col min="6" max="6" width="10.7109375" style="420" customWidth="1"/>
    <col min="7" max="7" width="2.7109375" style="420" customWidth="1"/>
    <col min="8" max="8" width="9.140625" style="419" customWidth="1"/>
    <col min="9" max="9" width="13.421875" style="128" bestFit="1" customWidth="1"/>
    <col min="10" max="11" width="9.140625" style="420" customWidth="1"/>
    <col min="12" max="12" width="2.7109375" style="420" customWidth="1"/>
    <col min="13" max="13" width="9.140625" style="419" customWidth="1"/>
    <col min="14" max="14" width="12.28125" style="128" bestFit="1" customWidth="1"/>
    <col min="15" max="16" width="9.140625" style="420" customWidth="1"/>
    <col min="17" max="17" width="2.7109375" style="420" customWidth="1"/>
    <col min="18" max="18" width="9.140625" style="419" customWidth="1"/>
    <col min="19" max="19" width="12.28125" style="128" bestFit="1" customWidth="1"/>
    <col min="20" max="21" width="9.140625" style="420" customWidth="1"/>
    <col min="22" max="22" width="2.7109375" style="420" customWidth="1"/>
    <col min="23" max="23" width="9.140625" style="419" customWidth="1"/>
    <col min="24" max="24" width="12.28125" style="128" bestFit="1" customWidth="1"/>
    <col min="25" max="26" width="9.140625" style="420" customWidth="1"/>
    <col min="27" max="27" width="2.7109375" style="420" customWidth="1"/>
    <col min="28" max="28" width="9.140625" style="419" customWidth="1"/>
    <col min="29" max="29" width="13.421875" style="420" bestFit="1" customWidth="1"/>
    <col min="30" max="31" width="9.140625" style="420" customWidth="1"/>
    <col min="32" max="16384" width="9.140625" style="421" customWidth="1"/>
  </cols>
  <sheetData>
    <row r="1" spans="1:31" s="186" customFormat="1" ht="21.75" customHeight="1">
      <c r="A1" s="1"/>
      <c r="B1" s="416"/>
      <c r="C1" s="417"/>
      <c r="D1" s="417"/>
      <c r="E1" s="418"/>
      <c r="F1" s="418"/>
      <c r="G1" s="418"/>
      <c r="H1" s="417"/>
      <c r="I1" s="417"/>
      <c r="J1" s="418"/>
      <c r="K1" s="418"/>
      <c r="L1" s="119"/>
      <c r="M1" s="167"/>
      <c r="N1" s="167"/>
      <c r="O1" s="119"/>
      <c r="P1" s="119" t="s">
        <v>222</v>
      </c>
      <c r="Q1" s="119"/>
      <c r="R1" s="167"/>
      <c r="S1" s="167"/>
      <c r="T1" s="119"/>
      <c r="U1" s="119"/>
      <c r="V1" s="119"/>
      <c r="W1" s="417"/>
      <c r="X1" s="417"/>
      <c r="Y1" s="418"/>
      <c r="Z1" s="418"/>
      <c r="AA1" s="418"/>
      <c r="AB1" s="417"/>
      <c r="AC1" s="417"/>
      <c r="AD1" s="418"/>
      <c r="AE1" s="195"/>
    </row>
    <row r="2" spans="1:31" s="186" customFormat="1" ht="18">
      <c r="A2" s="1"/>
      <c r="B2" s="416"/>
      <c r="C2" s="417"/>
      <c r="D2" s="417"/>
      <c r="E2" s="418"/>
      <c r="F2" s="418"/>
      <c r="G2" s="418"/>
      <c r="H2" s="417"/>
      <c r="I2" s="417"/>
      <c r="J2" s="418"/>
      <c r="K2" s="418"/>
      <c r="L2" s="120"/>
      <c r="M2" s="168"/>
      <c r="N2" s="168"/>
      <c r="O2" s="120"/>
      <c r="P2" s="120" t="s">
        <v>80</v>
      </c>
      <c r="Q2" s="120"/>
      <c r="R2" s="168"/>
      <c r="S2" s="168"/>
      <c r="T2" s="120"/>
      <c r="U2" s="120"/>
      <c r="V2" s="120"/>
      <c r="W2" s="417"/>
      <c r="X2" s="417"/>
      <c r="Y2" s="418"/>
      <c r="Z2" s="418"/>
      <c r="AA2" s="418"/>
      <c r="AB2" s="417"/>
      <c r="AC2" s="417"/>
      <c r="AD2" s="418"/>
      <c r="AE2" s="195"/>
    </row>
    <row r="3" spans="1:31" s="186" customFormat="1" ht="15.75">
      <c r="A3" s="1"/>
      <c r="B3" s="416"/>
      <c r="C3" s="417"/>
      <c r="D3" s="417"/>
      <c r="E3" s="418"/>
      <c r="F3" s="418"/>
      <c r="G3" s="418"/>
      <c r="H3" s="417"/>
      <c r="I3" s="417"/>
      <c r="J3" s="418"/>
      <c r="K3" s="418"/>
      <c r="L3" s="121"/>
      <c r="M3" s="169"/>
      <c r="N3" s="169"/>
      <c r="O3" s="121"/>
      <c r="P3" s="121" t="s">
        <v>1</v>
      </c>
      <c r="Q3" s="121"/>
      <c r="R3" s="169"/>
      <c r="S3" s="169"/>
      <c r="T3" s="121"/>
      <c r="U3" s="121"/>
      <c r="V3" s="121"/>
      <c r="W3" s="417"/>
      <c r="X3" s="417"/>
      <c r="Y3" s="418"/>
      <c r="Z3" s="418"/>
      <c r="AA3" s="418"/>
      <c r="AB3" s="417"/>
      <c r="AC3" s="417"/>
      <c r="AD3" s="418"/>
      <c r="AE3" s="195"/>
    </row>
    <row r="4" spans="1:31" s="186" customFormat="1" ht="14.25" customHeight="1">
      <c r="A4" s="1"/>
      <c r="B4" s="416"/>
      <c r="C4" s="417"/>
      <c r="D4" s="417"/>
      <c r="E4" s="418"/>
      <c r="F4" s="418"/>
      <c r="G4" s="418"/>
      <c r="H4" s="417"/>
      <c r="I4" s="417"/>
      <c r="J4" s="418"/>
      <c r="K4" s="418"/>
      <c r="L4" s="129"/>
      <c r="M4" s="203"/>
      <c r="N4" s="203"/>
      <c r="O4" s="129"/>
      <c r="P4" s="129" t="s">
        <v>223</v>
      </c>
      <c r="Q4" s="129"/>
      <c r="R4" s="203"/>
      <c r="S4" s="203"/>
      <c r="T4" s="129"/>
      <c r="U4" s="129"/>
      <c r="V4" s="129"/>
      <c r="W4" s="417"/>
      <c r="X4" s="417"/>
      <c r="Y4" s="418"/>
      <c r="Z4" s="418"/>
      <c r="AA4" s="418"/>
      <c r="AB4" s="417"/>
      <c r="AC4" s="417"/>
      <c r="AD4" s="418"/>
      <c r="AE4" s="195"/>
    </row>
    <row r="5" spans="1:31" s="186" customFormat="1" ht="15.75">
      <c r="A5" s="1"/>
      <c r="B5" s="416"/>
      <c r="C5" s="417"/>
      <c r="D5" s="417"/>
      <c r="E5" s="418"/>
      <c r="F5" s="418"/>
      <c r="G5" s="418"/>
      <c r="H5" s="417"/>
      <c r="I5" s="417"/>
      <c r="J5" s="418"/>
      <c r="K5" s="418"/>
      <c r="L5" s="122"/>
      <c r="M5" s="171"/>
      <c r="N5" s="171"/>
      <c r="O5" s="122"/>
      <c r="P5" s="122" t="s">
        <v>233</v>
      </c>
      <c r="Q5" s="122"/>
      <c r="R5" s="171"/>
      <c r="S5" s="171"/>
      <c r="T5" s="122"/>
      <c r="U5" s="122"/>
      <c r="V5" s="122"/>
      <c r="W5" s="417"/>
      <c r="X5" s="417"/>
      <c r="Y5" s="418"/>
      <c r="Z5" s="418"/>
      <c r="AA5" s="418"/>
      <c r="AB5" s="417"/>
      <c r="AC5" s="417"/>
      <c r="AD5" s="418"/>
      <c r="AE5" s="195"/>
    </row>
    <row r="6" spans="1:28" ht="12.75">
      <c r="A6" s="679"/>
      <c r="B6" s="679"/>
      <c r="C6" s="679"/>
      <c r="D6" s="679"/>
      <c r="E6" s="679"/>
      <c r="F6" s="679"/>
      <c r="G6" s="679"/>
      <c r="H6" s="679"/>
      <c r="I6" s="679"/>
      <c r="J6" s="679"/>
      <c r="K6" s="679"/>
      <c r="L6" s="679"/>
      <c r="M6" s="679"/>
      <c r="N6" s="679"/>
      <c r="O6" s="679"/>
      <c r="P6" s="679"/>
      <c r="Q6" s="679"/>
      <c r="R6" s="679"/>
      <c r="S6" s="679"/>
      <c r="T6" s="679"/>
      <c r="U6" s="679"/>
      <c r="V6" s="679"/>
      <c r="W6" s="679"/>
      <c r="X6" s="679"/>
      <c r="Y6" s="679"/>
      <c r="Z6" s="679"/>
      <c r="AA6" s="679"/>
      <c r="AB6" s="679"/>
    </row>
    <row r="7" spans="1:27" ht="12.75">
      <c r="A7" s="678" t="s">
        <v>231</v>
      </c>
      <c r="B7" s="678"/>
      <c r="C7" s="678"/>
      <c r="D7" s="678"/>
      <c r="E7" s="678"/>
      <c r="F7" s="678"/>
      <c r="G7" s="678"/>
      <c r="H7" s="678"/>
      <c r="I7" s="678"/>
      <c r="J7" s="678"/>
      <c r="K7" s="678"/>
      <c r="L7" s="678"/>
      <c r="M7" s="678"/>
      <c r="N7" s="678"/>
      <c r="O7" s="678"/>
      <c r="P7" s="678"/>
      <c r="Q7" s="678"/>
      <c r="R7" s="678"/>
      <c r="S7" s="678"/>
      <c r="T7" s="678"/>
      <c r="U7" s="678"/>
      <c r="V7" s="678"/>
      <c r="W7" s="678"/>
      <c r="X7" s="678"/>
      <c r="Y7" s="678"/>
      <c r="Z7" s="678"/>
      <c r="AA7" s="678"/>
    </row>
    <row r="8" spans="3:31" ht="12.75">
      <c r="C8" s="678" t="s">
        <v>209</v>
      </c>
      <c r="D8" s="678"/>
      <c r="E8" s="678"/>
      <c r="F8" s="678"/>
      <c r="G8" s="126"/>
      <c r="H8" s="678" t="s">
        <v>210</v>
      </c>
      <c r="I8" s="678"/>
      <c r="J8" s="678"/>
      <c r="K8" s="678"/>
      <c r="M8" s="678" t="s">
        <v>211</v>
      </c>
      <c r="N8" s="678"/>
      <c r="O8" s="678"/>
      <c r="P8" s="678"/>
      <c r="R8" s="678" t="s">
        <v>212</v>
      </c>
      <c r="S8" s="678"/>
      <c r="T8" s="678"/>
      <c r="U8" s="678"/>
      <c r="W8" s="678" t="s">
        <v>213</v>
      </c>
      <c r="X8" s="678"/>
      <c r="Y8" s="678"/>
      <c r="Z8" s="678"/>
      <c r="AB8" s="678" t="s">
        <v>214</v>
      </c>
      <c r="AC8" s="678"/>
      <c r="AD8" s="678"/>
      <c r="AE8" s="678"/>
    </row>
    <row r="10" spans="3:31" ht="12.75">
      <c r="C10" s="680" t="s">
        <v>215</v>
      </c>
      <c r="D10" s="680"/>
      <c r="E10" s="680" t="s">
        <v>216</v>
      </c>
      <c r="F10" s="680"/>
      <c r="H10" s="680" t="s">
        <v>215</v>
      </c>
      <c r="I10" s="680"/>
      <c r="J10" s="680" t="s">
        <v>216</v>
      </c>
      <c r="K10" s="680"/>
      <c r="M10" s="680" t="s">
        <v>215</v>
      </c>
      <c r="N10" s="680"/>
      <c r="O10" s="680" t="s">
        <v>216</v>
      </c>
      <c r="P10" s="680"/>
      <c r="R10" s="680" t="s">
        <v>215</v>
      </c>
      <c r="S10" s="680"/>
      <c r="T10" s="680" t="s">
        <v>216</v>
      </c>
      <c r="U10" s="680"/>
      <c r="W10" s="680" t="s">
        <v>215</v>
      </c>
      <c r="X10" s="680"/>
      <c r="Y10" s="680" t="s">
        <v>216</v>
      </c>
      <c r="Z10" s="680"/>
      <c r="AB10" s="680" t="s">
        <v>215</v>
      </c>
      <c r="AC10" s="680"/>
      <c r="AD10" s="680" t="s">
        <v>216</v>
      </c>
      <c r="AE10" s="680"/>
    </row>
    <row r="11" spans="3:31" ht="12.75">
      <c r="C11" s="419" t="s">
        <v>258</v>
      </c>
      <c r="D11" s="128" t="s">
        <v>217</v>
      </c>
      <c r="E11" s="420" t="s">
        <v>258</v>
      </c>
      <c r="F11" s="420" t="s">
        <v>217</v>
      </c>
      <c r="H11" s="419" t="s">
        <v>258</v>
      </c>
      <c r="I11" s="128" t="s">
        <v>217</v>
      </c>
      <c r="J11" s="420" t="s">
        <v>258</v>
      </c>
      <c r="K11" s="420" t="s">
        <v>217</v>
      </c>
      <c r="M11" s="419" t="s">
        <v>258</v>
      </c>
      <c r="N11" s="128" t="s">
        <v>217</v>
      </c>
      <c r="O11" s="420" t="s">
        <v>258</v>
      </c>
      <c r="P11" s="420" t="s">
        <v>217</v>
      </c>
      <c r="R11" s="419" t="s">
        <v>258</v>
      </c>
      <c r="S11" s="128" t="s">
        <v>217</v>
      </c>
      <c r="T11" s="420" t="s">
        <v>258</v>
      </c>
      <c r="U11" s="420" t="s">
        <v>217</v>
      </c>
      <c r="W11" s="419" t="s">
        <v>258</v>
      </c>
      <c r="X11" s="128" t="s">
        <v>217</v>
      </c>
      <c r="Y11" s="420" t="s">
        <v>258</v>
      </c>
      <c r="Z11" s="420" t="s">
        <v>217</v>
      </c>
      <c r="AB11" s="419" t="s">
        <v>258</v>
      </c>
      <c r="AC11" s="128" t="s">
        <v>217</v>
      </c>
      <c r="AD11" s="420" t="s">
        <v>258</v>
      </c>
      <c r="AE11" s="420" t="s">
        <v>217</v>
      </c>
    </row>
    <row r="13" spans="1:31" ht="12.75">
      <c r="A13" s="139" t="s">
        <v>10</v>
      </c>
      <c r="B13" s="131"/>
      <c r="C13" s="440">
        <v>2137</v>
      </c>
      <c r="D13" s="172">
        <v>42604962</v>
      </c>
      <c r="E13" s="441">
        <v>0.7828218310040699</v>
      </c>
      <c r="F13" s="423">
        <v>0.7491486405053043</v>
      </c>
      <c r="G13" s="425"/>
      <c r="H13" s="422">
        <v>14516</v>
      </c>
      <c r="I13" s="140">
        <v>198031022</v>
      </c>
      <c r="J13" s="441">
        <v>0.9710465675268478</v>
      </c>
      <c r="K13" s="423">
        <v>0.8704292586107852</v>
      </c>
      <c r="M13" s="422">
        <v>2694</v>
      </c>
      <c r="N13" s="140">
        <v>63332314</v>
      </c>
      <c r="O13" s="441">
        <v>0.9656132608565166</v>
      </c>
      <c r="P13" s="423">
        <v>0.8961555578593852</v>
      </c>
      <c r="R13" s="422">
        <v>1073</v>
      </c>
      <c r="S13" s="140">
        <v>27446660</v>
      </c>
      <c r="T13" s="441">
        <v>1.1015234089277268</v>
      </c>
      <c r="U13" s="423">
        <v>1.0438652150986802</v>
      </c>
      <c r="W13" s="422">
        <v>1183</v>
      </c>
      <c r="X13" s="140">
        <v>33653384</v>
      </c>
      <c r="Y13" s="441">
        <v>1.233025380988429</v>
      </c>
      <c r="Z13" s="423">
        <v>1.1717541147341468</v>
      </c>
      <c r="AB13" s="422">
        <v>21603</v>
      </c>
      <c r="AC13" s="140">
        <v>365068342</v>
      </c>
      <c r="AD13" s="441">
        <v>0.9643132033433445</v>
      </c>
      <c r="AE13" s="423">
        <v>0.8902552349428774</v>
      </c>
    </row>
    <row r="14" spans="5:31" ht="12.75">
      <c r="E14" s="426"/>
      <c r="F14" s="426"/>
      <c r="J14" s="426"/>
      <c r="K14" s="426"/>
      <c r="O14" s="426"/>
      <c r="P14" s="426"/>
      <c r="T14" s="426"/>
      <c r="U14" s="426"/>
      <c r="Y14" s="426"/>
      <c r="Z14" s="426"/>
      <c r="AC14" s="128"/>
      <c r="AD14" s="426"/>
      <c r="AE14" s="426"/>
    </row>
    <row r="15" spans="1:31" ht="12.75">
      <c r="A15" s="112" t="s">
        <v>11</v>
      </c>
      <c r="B15" s="133" t="s">
        <v>16</v>
      </c>
      <c r="C15" s="427">
        <v>28</v>
      </c>
      <c r="D15" s="146">
        <v>716364</v>
      </c>
      <c r="E15" s="428">
        <v>0.7102566385531861</v>
      </c>
      <c r="F15" s="429">
        <v>0.8423259996334078</v>
      </c>
      <c r="G15" s="425"/>
      <c r="H15" s="427">
        <v>162</v>
      </c>
      <c r="I15" s="146">
        <v>3477150</v>
      </c>
      <c r="J15" s="428">
        <v>0.9003445818791417</v>
      </c>
      <c r="K15" s="429">
        <v>0.7784285928277715</v>
      </c>
      <c r="M15" s="427">
        <v>136</v>
      </c>
      <c r="N15" s="146">
        <v>3809088</v>
      </c>
      <c r="O15" s="428">
        <v>0.8090920048264711</v>
      </c>
      <c r="P15" s="429">
        <v>0.7871512909579732</v>
      </c>
      <c r="R15" s="427">
        <v>9</v>
      </c>
      <c r="S15" s="146">
        <v>233195</v>
      </c>
      <c r="T15" s="428">
        <v>0.7677261571979035</v>
      </c>
      <c r="U15" s="429">
        <v>0.5970369873724012</v>
      </c>
      <c r="W15" s="427">
        <v>12</v>
      </c>
      <c r="X15" s="146">
        <v>389291</v>
      </c>
      <c r="Y15" s="428">
        <v>0.8047625849779005</v>
      </c>
      <c r="Z15" s="429">
        <v>0.6310100343474488</v>
      </c>
      <c r="AB15" s="427">
        <v>347</v>
      </c>
      <c r="AC15" s="146">
        <v>8625088</v>
      </c>
      <c r="AD15" s="428">
        <v>0.8380077826048362</v>
      </c>
      <c r="AE15" s="429">
        <v>0.7725843627772764</v>
      </c>
    </row>
    <row r="16" spans="2:31" ht="12.75">
      <c r="B16" s="134" t="s">
        <v>17</v>
      </c>
      <c r="C16" s="430">
        <v>32</v>
      </c>
      <c r="D16" s="149">
        <v>627198</v>
      </c>
      <c r="E16" s="431">
        <v>0.48171362396019435</v>
      </c>
      <c r="F16" s="432">
        <v>0.344788575456369</v>
      </c>
      <c r="G16" s="425"/>
      <c r="H16" s="430">
        <v>239</v>
      </c>
      <c r="I16" s="149">
        <v>5916412</v>
      </c>
      <c r="J16" s="431">
        <v>0.9330820492621223</v>
      </c>
      <c r="K16" s="432">
        <v>0.7734947766801825</v>
      </c>
      <c r="M16" s="430">
        <v>119</v>
      </c>
      <c r="N16" s="149">
        <v>3511673</v>
      </c>
      <c r="O16" s="431">
        <v>0.8265233711290677</v>
      </c>
      <c r="P16" s="432">
        <v>0.7438113214338489</v>
      </c>
      <c r="R16" s="430">
        <v>20</v>
      </c>
      <c r="S16" s="149">
        <v>790600</v>
      </c>
      <c r="T16" s="431">
        <v>0.9734193251965183</v>
      </c>
      <c r="U16" s="432">
        <v>1.0243112762060997</v>
      </c>
      <c r="W16" s="430">
        <v>25</v>
      </c>
      <c r="X16" s="149">
        <v>1168064</v>
      </c>
      <c r="Y16" s="431">
        <v>0.9508639169203565</v>
      </c>
      <c r="Z16" s="432">
        <v>0.9591836640441559</v>
      </c>
      <c r="AB16" s="430">
        <v>435</v>
      </c>
      <c r="AC16" s="149">
        <v>12013947</v>
      </c>
      <c r="AD16" s="431">
        <v>0.8473181737009191</v>
      </c>
      <c r="AE16" s="432">
        <v>0.7425730449412371</v>
      </c>
    </row>
    <row r="17" spans="2:31" ht="12.75">
      <c r="B17" s="134" t="s">
        <v>18</v>
      </c>
      <c r="C17" s="430">
        <v>88</v>
      </c>
      <c r="D17" s="149">
        <v>2553851</v>
      </c>
      <c r="E17" s="431">
        <v>0.7330462235624376</v>
      </c>
      <c r="F17" s="432">
        <v>0.7331657006069585</v>
      </c>
      <c r="G17" s="425"/>
      <c r="H17" s="430">
        <v>374</v>
      </c>
      <c r="I17" s="149">
        <v>11708331</v>
      </c>
      <c r="J17" s="431">
        <v>0.7874356266111634</v>
      </c>
      <c r="K17" s="432">
        <v>0.7970352401170384</v>
      </c>
      <c r="M17" s="430">
        <v>175</v>
      </c>
      <c r="N17" s="149">
        <v>6077887</v>
      </c>
      <c r="O17" s="431">
        <v>0.7678451041428305</v>
      </c>
      <c r="P17" s="432">
        <v>0.8030770117419964</v>
      </c>
      <c r="R17" s="430">
        <v>37</v>
      </c>
      <c r="S17" s="149">
        <v>1318280</v>
      </c>
      <c r="T17" s="431">
        <v>0.8599681346942498</v>
      </c>
      <c r="U17" s="432">
        <v>0.7989313380099278</v>
      </c>
      <c r="W17" s="430">
        <v>55</v>
      </c>
      <c r="X17" s="149">
        <v>2427682</v>
      </c>
      <c r="Y17" s="431">
        <v>1.0151090679323909</v>
      </c>
      <c r="Z17" s="432">
        <v>0.9728759558016324</v>
      </c>
      <c r="AB17" s="430">
        <v>729</v>
      </c>
      <c r="AC17" s="149">
        <v>24086031</v>
      </c>
      <c r="AD17" s="431">
        <v>0.7922851811925156</v>
      </c>
      <c r="AE17" s="432">
        <v>0.80590748008734</v>
      </c>
    </row>
    <row r="18" spans="2:31" ht="12.75">
      <c r="B18" s="134" t="s">
        <v>19</v>
      </c>
      <c r="C18" s="430">
        <v>105</v>
      </c>
      <c r="D18" s="149">
        <v>3179514</v>
      </c>
      <c r="E18" s="431">
        <v>0.6093780849765568</v>
      </c>
      <c r="F18" s="432">
        <v>0.6412563286029815</v>
      </c>
      <c r="G18" s="425"/>
      <c r="H18" s="430">
        <v>575</v>
      </c>
      <c r="I18" s="149">
        <v>15699429</v>
      </c>
      <c r="J18" s="431">
        <v>0.6916129576081176</v>
      </c>
      <c r="K18" s="432">
        <v>0.6710189496120452</v>
      </c>
      <c r="M18" s="430">
        <v>263</v>
      </c>
      <c r="N18" s="149">
        <v>8466973</v>
      </c>
      <c r="O18" s="431">
        <v>0.8392593124915367</v>
      </c>
      <c r="P18" s="432">
        <v>0.8446266730622477</v>
      </c>
      <c r="R18" s="430">
        <v>69</v>
      </c>
      <c r="S18" s="149">
        <v>2310358</v>
      </c>
      <c r="T18" s="431">
        <v>0.9242652995041519</v>
      </c>
      <c r="U18" s="432">
        <v>0.8466864979111746</v>
      </c>
      <c r="W18" s="430">
        <v>95</v>
      </c>
      <c r="X18" s="149">
        <v>3983862</v>
      </c>
      <c r="Y18" s="431">
        <v>1.1402947890088535</v>
      </c>
      <c r="Z18" s="432">
        <v>1.0782961331424916</v>
      </c>
      <c r="AB18" s="430">
        <v>1107</v>
      </c>
      <c r="AC18" s="149">
        <v>33640136</v>
      </c>
      <c r="AD18" s="431">
        <v>0.7504912158223369</v>
      </c>
      <c r="AE18" s="432">
        <v>0.7508544965625087</v>
      </c>
    </row>
    <row r="19" spans="2:31" ht="12.75">
      <c r="B19" s="134" t="s">
        <v>104</v>
      </c>
      <c r="C19" s="430">
        <v>168</v>
      </c>
      <c r="D19" s="149">
        <v>4597295</v>
      </c>
      <c r="E19" s="431">
        <v>0.7164938374066515</v>
      </c>
      <c r="F19" s="432">
        <v>0.7303800372023539</v>
      </c>
      <c r="G19" s="425"/>
      <c r="H19" s="430">
        <v>995</v>
      </c>
      <c r="I19" s="149">
        <v>22071362</v>
      </c>
      <c r="J19" s="431">
        <v>0.8171058707898917</v>
      </c>
      <c r="K19" s="432">
        <v>0.7612333737565895</v>
      </c>
      <c r="M19" s="430">
        <v>317</v>
      </c>
      <c r="N19" s="149">
        <v>8698878</v>
      </c>
      <c r="O19" s="431">
        <v>0.8450876945101313</v>
      </c>
      <c r="P19" s="432">
        <v>0.8088580781093286</v>
      </c>
      <c r="R19" s="430">
        <v>96</v>
      </c>
      <c r="S19" s="149">
        <v>2997334</v>
      </c>
      <c r="T19" s="431">
        <v>0.8690708546225496</v>
      </c>
      <c r="U19" s="432">
        <v>0.8373268687977654</v>
      </c>
      <c r="W19" s="430">
        <v>125</v>
      </c>
      <c r="X19" s="149">
        <v>4470807</v>
      </c>
      <c r="Y19" s="431">
        <v>1.012022011883568</v>
      </c>
      <c r="Z19" s="432">
        <v>0.9160503889876109</v>
      </c>
      <c r="AB19" s="430">
        <v>1701</v>
      </c>
      <c r="AC19" s="149">
        <v>42835676</v>
      </c>
      <c r="AD19" s="431">
        <v>0.8252175980189982</v>
      </c>
      <c r="AE19" s="432">
        <v>0.7859282870204721</v>
      </c>
    </row>
    <row r="20" spans="2:31" ht="12.75">
      <c r="B20" s="134" t="s">
        <v>105</v>
      </c>
      <c r="C20" s="430">
        <v>219</v>
      </c>
      <c r="D20" s="149">
        <v>4617330</v>
      </c>
      <c r="E20" s="431">
        <v>0.7125580283343657</v>
      </c>
      <c r="F20" s="432">
        <v>0.6589850417786616</v>
      </c>
      <c r="G20" s="425"/>
      <c r="H20" s="430">
        <v>1421</v>
      </c>
      <c r="I20" s="149">
        <v>27270875</v>
      </c>
      <c r="J20" s="431">
        <v>0.9019244210946358</v>
      </c>
      <c r="K20" s="432">
        <v>0.87881460536</v>
      </c>
      <c r="M20" s="430">
        <v>321</v>
      </c>
      <c r="N20" s="149">
        <v>7934364</v>
      </c>
      <c r="O20" s="431">
        <v>0.8122660986775794</v>
      </c>
      <c r="P20" s="432">
        <v>0.7979590591203305</v>
      </c>
      <c r="R20" s="430">
        <v>156</v>
      </c>
      <c r="S20" s="149">
        <v>4573910</v>
      </c>
      <c r="T20" s="431">
        <v>1.0985831165098823</v>
      </c>
      <c r="U20" s="432">
        <v>1.1066605153221494</v>
      </c>
      <c r="W20" s="430">
        <v>160</v>
      </c>
      <c r="X20" s="149">
        <v>5676019</v>
      </c>
      <c r="Y20" s="431">
        <v>1.037094538167541</v>
      </c>
      <c r="Z20" s="432">
        <v>1.094729373496922</v>
      </c>
      <c r="AB20" s="430">
        <v>2277</v>
      </c>
      <c r="AC20" s="149">
        <v>50072498</v>
      </c>
      <c r="AD20" s="431">
        <v>0.8845011726282989</v>
      </c>
      <c r="AE20" s="432">
        <v>0.8738744666111135</v>
      </c>
    </row>
    <row r="21" spans="2:31" ht="12.75">
      <c r="B21" s="134" t="s">
        <v>106</v>
      </c>
      <c r="C21" s="430">
        <v>286</v>
      </c>
      <c r="D21" s="149">
        <v>5324843</v>
      </c>
      <c r="E21" s="431">
        <v>0.8242628157953311</v>
      </c>
      <c r="F21" s="432">
        <v>0.8018396875185966</v>
      </c>
      <c r="G21" s="425"/>
      <c r="H21" s="430">
        <v>1962</v>
      </c>
      <c r="I21" s="149">
        <v>26681316</v>
      </c>
      <c r="J21" s="431">
        <v>1.0309527158581306</v>
      </c>
      <c r="K21" s="432">
        <v>0.9145751727291903</v>
      </c>
      <c r="M21" s="430">
        <v>351</v>
      </c>
      <c r="N21" s="149">
        <v>7537989</v>
      </c>
      <c r="O21" s="431">
        <v>1.0131933067468704</v>
      </c>
      <c r="P21" s="432">
        <v>0.9865161538580343</v>
      </c>
      <c r="R21" s="430">
        <v>168</v>
      </c>
      <c r="S21" s="149">
        <v>3989659</v>
      </c>
      <c r="T21" s="431">
        <v>1.089085932769688</v>
      </c>
      <c r="U21" s="432">
        <v>1.0344544830978606</v>
      </c>
      <c r="W21" s="430">
        <v>153</v>
      </c>
      <c r="X21" s="149">
        <v>4331123</v>
      </c>
      <c r="Y21" s="431">
        <v>1.133371951933177</v>
      </c>
      <c r="Z21" s="432">
        <v>1.1539374965921516</v>
      </c>
      <c r="AB21" s="430">
        <v>2920</v>
      </c>
      <c r="AC21" s="149">
        <v>47864930</v>
      </c>
      <c r="AD21" s="431">
        <v>1.011867462286968</v>
      </c>
      <c r="AE21" s="432">
        <v>0.9373265398294426</v>
      </c>
    </row>
    <row r="22" spans="2:31" ht="12.75">
      <c r="B22" s="134" t="s">
        <v>107</v>
      </c>
      <c r="C22" s="430">
        <v>329</v>
      </c>
      <c r="D22" s="149">
        <v>5295300</v>
      </c>
      <c r="E22" s="431">
        <v>0.8780999965863522</v>
      </c>
      <c r="F22" s="432">
        <v>0.8314577201841022</v>
      </c>
      <c r="G22" s="425"/>
      <c r="H22" s="430">
        <v>2466</v>
      </c>
      <c r="I22" s="149">
        <v>26525116</v>
      </c>
      <c r="J22" s="431">
        <v>1.039327162017128</v>
      </c>
      <c r="K22" s="432">
        <v>0.9358873520433167</v>
      </c>
      <c r="M22" s="430">
        <v>333</v>
      </c>
      <c r="N22" s="149">
        <v>5616111</v>
      </c>
      <c r="O22" s="431">
        <v>1.1384522751575608</v>
      </c>
      <c r="P22" s="432">
        <v>0.9871118372038539</v>
      </c>
      <c r="R22" s="430">
        <v>165</v>
      </c>
      <c r="S22" s="149">
        <v>3785672</v>
      </c>
      <c r="T22" s="431">
        <v>1.159242386622934</v>
      </c>
      <c r="U22" s="432">
        <v>1.1127320932755478</v>
      </c>
      <c r="W22" s="430">
        <v>170</v>
      </c>
      <c r="X22" s="149">
        <v>4082280</v>
      </c>
      <c r="Y22" s="431">
        <v>1.3194126502646095</v>
      </c>
      <c r="Z22" s="432">
        <v>1.4389788065331646</v>
      </c>
      <c r="AB22" s="430">
        <v>3463</v>
      </c>
      <c r="AC22" s="149">
        <v>45304479</v>
      </c>
      <c r="AD22" s="431">
        <v>1.0458938714001738</v>
      </c>
      <c r="AE22" s="432">
        <v>0.9713775814630821</v>
      </c>
    </row>
    <row r="23" spans="2:31" ht="12.75">
      <c r="B23" s="134" t="s">
        <v>108</v>
      </c>
      <c r="C23" s="430">
        <v>323</v>
      </c>
      <c r="D23" s="149">
        <v>5131965</v>
      </c>
      <c r="E23" s="431">
        <v>0.859834012105293</v>
      </c>
      <c r="F23" s="432">
        <v>0.8317930373753833</v>
      </c>
      <c r="G23" s="425"/>
      <c r="H23" s="430">
        <v>3779</v>
      </c>
      <c r="I23" s="149">
        <v>28674053</v>
      </c>
      <c r="J23" s="431">
        <v>0.999821447605094</v>
      </c>
      <c r="K23" s="432">
        <v>0.9324893037371879</v>
      </c>
      <c r="M23" s="430">
        <v>354</v>
      </c>
      <c r="N23" s="149">
        <v>5934103</v>
      </c>
      <c r="O23" s="431">
        <v>1.2893110107706687</v>
      </c>
      <c r="P23" s="432">
        <v>1.2281665156648334</v>
      </c>
      <c r="R23" s="430">
        <v>151</v>
      </c>
      <c r="S23" s="149">
        <v>3164056</v>
      </c>
      <c r="T23" s="431">
        <v>1.1368769763589814</v>
      </c>
      <c r="U23" s="432">
        <v>1.160104959521729</v>
      </c>
      <c r="W23" s="430">
        <v>173</v>
      </c>
      <c r="X23" s="149">
        <v>3373848</v>
      </c>
      <c r="Y23" s="431">
        <v>1.4280077723243836</v>
      </c>
      <c r="Z23" s="432">
        <v>1.5227565971062138</v>
      </c>
      <c r="AB23" s="430">
        <v>4780</v>
      </c>
      <c r="AC23" s="149">
        <v>46278025</v>
      </c>
      <c r="AD23" s="431">
        <v>1.0205254090950096</v>
      </c>
      <c r="AE23" s="432">
        <v>0.9910818743191142</v>
      </c>
    </row>
    <row r="24" spans="2:31" ht="12.75">
      <c r="B24" s="134" t="s">
        <v>109</v>
      </c>
      <c r="C24" s="430">
        <v>309</v>
      </c>
      <c r="D24" s="149">
        <v>5370935</v>
      </c>
      <c r="E24" s="431">
        <v>0.8120855357868352</v>
      </c>
      <c r="F24" s="432">
        <v>0.8712693013764315</v>
      </c>
      <c r="G24" s="425"/>
      <c r="H24" s="430">
        <v>1894</v>
      </c>
      <c r="I24" s="149">
        <v>19134063</v>
      </c>
      <c r="J24" s="431">
        <v>1.0758207263929058</v>
      </c>
      <c r="K24" s="432">
        <v>1.0037892186778423</v>
      </c>
      <c r="M24" s="430">
        <v>208</v>
      </c>
      <c r="N24" s="149">
        <v>3134893</v>
      </c>
      <c r="O24" s="431">
        <v>1.2636931480856401</v>
      </c>
      <c r="P24" s="432">
        <v>1.151624028111759</v>
      </c>
      <c r="R24" s="430">
        <v>124</v>
      </c>
      <c r="S24" s="149">
        <v>2604938</v>
      </c>
      <c r="T24" s="431">
        <v>1.3135277361444806</v>
      </c>
      <c r="U24" s="432">
        <v>1.2906397242406786</v>
      </c>
      <c r="W24" s="430">
        <v>129</v>
      </c>
      <c r="X24" s="149">
        <v>2270110</v>
      </c>
      <c r="Y24" s="431">
        <v>1.7218991399581003</v>
      </c>
      <c r="Z24" s="432">
        <v>2.0206255915663545</v>
      </c>
      <c r="AB24" s="430">
        <v>2664</v>
      </c>
      <c r="AC24" s="149">
        <v>32514939</v>
      </c>
      <c r="AD24" s="431">
        <v>1.0763920661613637</v>
      </c>
      <c r="AE24" s="432">
        <v>1.0458233693952619</v>
      </c>
    </row>
    <row r="25" spans="2:31" ht="12.75">
      <c r="B25" s="134" t="s">
        <v>110</v>
      </c>
      <c r="C25" s="430">
        <v>152</v>
      </c>
      <c r="D25" s="149">
        <v>3252888</v>
      </c>
      <c r="E25" s="431">
        <v>0.8214845003169201</v>
      </c>
      <c r="F25" s="432">
        <v>0.8195714477729985</v>
      </c>
      <c r="G25" s="425"/>
      <c r="H25" s="430">
        <v>543</v>
      </c>
      <c r="I25" s="149">
        <v>8511639</v>
      </c>
      <c r="J25" s="431">
        <v>1.070799550642816</v>
      </c>
      <c r="K25" s="432">
        <v>1.0681919371137407</v>
      </c>
      <c r="M25" s="430">
        <v>89</v>
      </c>
      <c r="N25" s="149">
        <v>1778523</v>
      </c>
      <c r="O25" s="431">
        <v>1.4420003169160243</v>
      </c>
      <c r="P25" s="432">
        <v>1.3650898711787083</v>
      </c>
      <c r="R25" s="430">
        <v>57</v>
      </c>
      <c r="S25" s="149">
        <v>1145458</v>
      </c>
      <c r="T25" s="431">
        <v>1.547519014800525</v>
      </c>
      <c r="U25" s="432">
        <v>1.5209551756895625</v>
      </c>
      <c r="W25" s="430">
        <v>77</v>
      </c>
      <c r="X25" s="149">
        <v>1347428</v>
      </c>
      <c r="Y25" s="431">
        <v>2.1465419070491607</v>
      </c>
      <c r="Z25" s="432">
        <v>2.418445648024169</v>
      </c>
      <c r="AB25" s="430">
        <v>918</v>
      </c>
      <c r="AC25" s="149">
        <v>16035936</v>
      </c>
      <c r="AD25" s="431">
        <v>1.1106363013217297</v>
      </c>
      <c r="AE25" s="432">
        <v>1.1020956162993036</v>
      </c>
    </row>
    <row r="26" spans="2:31" ht="12.75">
      <c r="B26" s="134" t="s">
        <v>111</v>
      </c>
      <c r="C26" s="430">
        <v>69</v>
      </c>
      <c r="D26" s="149">
        <v>1173196</v>
      </c>
      <c r="E26" s="431">
        <v>0.8288383866048185</v>
      </c>
      <c r="F26" s="432">
        <v>0.599611292868158</v>
      </c>
      <c r="G26" s="425"/>
      <c r="H26" s="430">
        <v>91</v>
      </c>
      <c r="I26" s="149">
        <v>1807869</v>
      </c>
      <c r="J26" s="431">
        <v>1.0872698975469162</v>
      </c>
      <c r="K26" s="432">
        <v>1.0043537062110799</v>
      </c>
      <c r="M26" s="430">
        <v>27</v>
      </c>
      <c r="N26" s="149">
        <v>792528</v>
      </c>
      <c r="O26" s="431">
        <v>1.309086466130782</v>
      </c>
      <c r="P26" s="432">
        <v>1.7098156494204357</v>
      </c>
      <c r="R26" s="430">
        <v>16</v>
      </c>
      <c r="S26" s="149">
        <v>340908</v>
      </c>
      <c r="T26" s="431">
        <v>1.742942173536038</v>
      </c>
      <c r="U26" s="432">
        <v>1.54822517728461</v>
      </c>
      <c r="W26" s="430">
        <v>9</v>
      </c>
      <c r="X26" s="149">
        <v>132870</v>
      </c>
      <c r="Y26" s="431">
        <v>1.458817579724381</v>
      </c>
      <c r="Z26" s="432">
        <v>1.1495789566709063</v>
      </c>
      <c r="AB26" s="430">
        <v>212</v>
      </c>
      <c r="AC26" s="149">
        <v>4247371</v>
      </c>
      <c r="AD26" s="431">
        <v>1.0447506111298268</v>
      </c>
      <c r="AE26" s="432">
        <v>0.9322757049350243</v>
      </c>
    </row>
    <row r="27" spans="2:31" ht="12.75">
      <c r="B27" s="134" t="s">
        <v>112</v>
      </c>
      <c r="C27" s="430">
        <v>24</v>
      </c>
      <c r="D27" s="149">
        <v>625194</v>
      </c>
      <c r="E27" s="431">
        <v>0.6627234620673661</v>
      </c>
      <c r="F27" s="432">
        <v>0.6401428091956873</v>
      </c>
      <c r="G27" s="425"/>
      <c r="H27" s="430">
        <v>15</v>
      </c>
      <c r="I27" s="149">
        <v>553407</v>
      </c>
      <c r="J27" s="431">
        <v>2.390964068591978</v>
      </c>
      <c r="K27" s="432">
        <v>2.986840368218696</v>
      </c>
      <c r="M27" s="430">
        <v>0</v>
      </c>
      <c r="N27" s="149">
        <v>0</v>
      </c>
      <c r="O27" s="431">
        <v>0</v>
      </c>
      <c r="P27" s="432">
        <v>0</v>
      </c>
      <c r="R27" s="430">
        <v>4</v>
      </c>
      <c r="S27" s="149">
        <v>140674</v>
      </c>
      <c r="T27" s="431">
        <v>3.0017410097856754</v>
      </c>
      <c r="U27" s="432">
        <v>3.720157658617638</v>
      </c>
      <c r="W27" s="430">
        <v>0</v>
      </c>
      <c r="X27" s="149">
        <v>0</v>
      </c>
      <c r="Y27" s="431">
        <v>0</v>
      </c>
      <c r="Z27" s="432">
        <v>0</v>
      </c>
      <c r="AB27" s="430">
        <v>43</v>
      </c>
      <c r="AC27" s="149">
        <v>1319275</v>
      </c>
      <c r="AD27" s="431">
        <v>0.8713043020143341</v>
      </c>
      <c r="AE27" s="432">
        <v>0.9563095028467498</v>
      </c>
    </row>
    <row r="28" spans="2:31" ht="12.75">
      <c r="B28" s="134" t="s">
        <v>113</v>
      </c>
      <c r="C28" s="430">
        <v>5</v>
      </c>
      <c r="D28" s="149">
        <v>139089</v>
      </c>
      <c r="E28" s="431">
        <v>0.6627511329730618</v>
      </c>
      <c r="F28" s="432">
        <v>0.6531454925741024</v>
      </c>
      <c r="G28" s="425"/>
      <c r="H28" s="430">
        <v>0</v>
      </c>
      <c r="I28" s="149">
        <v>0</v>
      </c>
      <c r="J28" s="431">
        <v>0</v>
      </c>
      <c r="K28" s="432">
        <v>0</v>
      </c>
      <c r="M28" s="430">
        <v>1</v>
      </c>
      <c r="N28" s="149">
        <v>39304</v>
      </c>
      <c r="O28" s="431">
        <v>0.9281345423832638</v>
      </c>
      <c r="P28" s="432">
        <v>2.9551438782893826</v>
      </c>
      <c r="R28" s="430">
        <v>1</v>
      </c>
      <c r="S28" s="149">
        <v>51618</v>
      </c>
      <c r="T28" s="431">
        <v>1.8733608092918694</v>
      </c>
      <c r="U28" s="432">
        <v>2.1838922547525015</v>
      </c>
      <c r="W28" s="430">
        <v>0</v>
      </c>
      <c r="X28" s="149">
        <v>0</v>
      </c>
      <c r="Y28" s="431">
        <v>0</v>
      </c>
      <c r="Z28" s="432">
        <v>0</v>
      </c>
      <c r="AB28" s="430">
        <v>7</v>
      </c>
      <c r="AC28" s="149">
        <v>230011</v>
      </c>
      <c r="AD28" s="431">
        <v>0.7356395282238612</v>
      </c>
      <c r="AE28" s="432">
        <v>0.9000234959970852</v>
      </c>
    </row>
    <row r="29" spans="2:31" ht="12.75">
      <c r="B29" s="135" t="s">
        <v>114</v>
      </c>
      <c r="C29" s="433">
        <v>0</v>
      </c>
      <c r="D29" s="152">
        <v>0</v>
      </c>
      <c r="E29" s="434">
        <v>0</v>
      </c>
      <c r="F29" s="435">
        <v>0</v>
      </c>
      <c r="G29" s="425"/>
      <c r="H29" s="433"/>
      <c r="I29" s="152"/>
      <c r="J29" s="434"/>
      <c r="K29" s="435"/>
      <c r="M29" s="433">
        <v>0</v>
      </c>
      <c r="N29" s="152">
        <v>0</v>
      </c>
      <c r="O29" s="434">
        <v>0</v>
      </c>
      <c r="P29" s="435">
        <v>0</v>
      </c>
      <c r="R29" s="433"/>
      <c r="S29" s="152"/>
      <c r="T29" s="434"/>
      <c r="U29" s="435"/>
      <c r="W29" s="433"/>
      <c r="X29" s="152"/>
      <c r="Y29" s="434"/>
      <c r="Z29" s="435"/>
      <c r="AB29" s="433">
        <v>0</v>
      </c>
      <c r="AC29" s="152">
        <v>0</v>
      </c>
      <c r="AD29" s="434">
        <v>0</v>
      </c>
      <c r="AE29" s="435">
        <v>0</v>
      </c>
    </row>
    <row r="30" spans="5:31" ht="12.75">
      <c r="E30" s="426"/>
      <c r="F30" s="426"/>
      <c r="J30" s="426"/>
      <c r="K30" s="426"/>
      <c r="O30" s="426"/>
      <c r="P30" s="426"/>
      <c r="T30" s="426"/>
      <c r="U30" s="426"/>
      <c r="Y30" s="426"/>
      <c r="Z30" s="426"/>
      <c r="AC30" s="128"/>
      <c r="AD30" s="426"/>
      <c r="AE30" s="426"/>
    </row>
    <row r="31" spans="1:31" ht="12.75">
      <c r="A31" s="139" t="s">
        <v>28</v>
      </c>
      <c r="B31" s="133" t="s">
        <v>115</v>
      </c>
      <c r="C31" s="427">
        <v>9</v>
      </c>
      <c r="D31" s="146">
        <v>211378</v>
      </c>
      <c r="E31" s="428">
        <v>1.0140662252849524</v>
      </c>
      <c r="F31" s="429">
        <v>0.6309356135772523</v>
      </c>
      <c r="G31" s="425"/>
      <c r="H31" s="427">
        <v>11</v>
      </c>
      <c r="I31" s="146">
        <v>231875</v>
      </c>
      <c r="J31" s="428">
        <v>1.4582979806550134</v>
      </c>
      <c r="K31" s="429">
        <v>0.9208188526987088</v>
      </c>
      <c r="M31" s="427">
        <v>24</v>
      </c>
      <c r="N31" s="146">
        <v>878385</v>
      </c>
      <c r="O31" s="428">
        <v>1.010141398751213</v>
      </c>
      <c r="P31" s="429">
        <v>0.8706253020994581</v>
      </c>
      <c r="R31" s="427">
        <v>6</v>
      </c>
      <c r="S31" s="146">
        <v>123000</v>
      </c>
      <c r="T31" s="428">
        <v>1.1680469087638548</v>
      </c>
      <c r="U31" s="429">
        <v>0.6682076872349686</v>
      </c>
      <c r="W31" s="427">
        <v>14</v>
      </c>
      <c r="X31" s="146">
        <v>237554</v>
      </c>
      <c r="Y31" s="428">
        <v>2.8749617527409663</v>
      </c>
      <c r="Z31" s="429">
        <v>1.9964208270882897</v>
      </c>
      <c r="AB31" s="427">
        <v>64</v>
      </c>
      <c r="AC31" s="146">
        <v>1682192</v>
      </c>
      <c r="AD31" s="428">
        <v>1.275315511064758</v>
      </c>
      <c r="AE31" s="429">
        <v>0.8859170962742196</v>
      </c>
    </row>
    <row r="32" spans="2:31" ht="12.75">
      <c r="B32" s="134" t="s">
        <v>116</v>
      </c>
      <c r="C32" s="430">
        <v>11</v>
      </c>
      <c r="D32" s="149">
        <v>340000</v>
      </c>
      <c r="E32" s="431">
        <v>0.9039392026927527</v>
      </c>
      <c r="F32" s="432">
        <v>0.8185380265443138</v>
      </c>
      <c r="G32" s="425"/>
      <c r="H32" s="430">
        <v>15</v>
      </c>
      <c r="I32" s="149">
        <v>504800</v>
      </c>
      <c r="J32" s="431">
        <v>1.2405039423215303</v>
      </c>
      <c r="K32" s="432">
        <v>1.2542185121308975</v>
      </c>
      <c r="M32" s="430">
        <v>32</v>
      </c>
      <c r="N32" s="149">
        <v>1247715</v>
      </c>
      <c r="O32" s="431">
        <v>1.1902879938997744</v>
      </c>
      <c r="P32" s="432">
        <v>1.1446476214494121</v>
      </c>
      <c r="R32" s="430">
        <v>10</v>
      </c>
      <c r="S32" s="149">
        <v>419517</v>
      </c>
      <c r="T32" s="431">
        <v>1.1682447706443435</v>
      </c>
      <c r="U32" s="432">
        <v>1.19306693614389</v>
      </c>
      <c r="W32" s="430">
        <v>32</v>
      </c>
      <c r="X32" s="149">
        <v>804960</v>
      </c>
      <c r="Y32" s="431">
        <v>2.7491763210007045</v>
      </c>
      <c r="Z32" s="432">
        <v>2.587864951488345</v>
      </c>
      <c r="AB32" s="430">
        <v>100</v>
      </c>
      <c r="AC32" s="149">
        <v>3316992</v>
      </c>
      <c r="AD32" s="431">
        <v>1.4016444372867118</v>
      </c>
      <c r="AE32" s="432">
        <v>1.2903670836806957</v>
      </c>
    </row>
    <row r="33" spans="2:31" ht="12.75">
      <c r="B33" s="134" t="s">
        <v>117</v>
      </c>
      <c r="C33" s="430">
        <v>19</v>
      </c>
      <c r="D33" s="149">
        <v>634071</v>
      </c>
      <c r="E33" s="431">
        <v>1.3685714059334049</v>
      </c>
      <c r="F33" s="432">
        <v>1.3327240393552626</v>
      </c>
      <c r="G33" s="425"/>
      <c r="H33" s="430">
        <v>23</v>
      </c>
      <c r="I33" s="149">
        <v>762556</v>
      </c>
      <c r="J33" s="431">
        <v>1.4978073402979202</v>
      </c>
      <c r="K33" s="432">
        <v>1.530049021509902</v>
      </c>
      <c r="M33" s="430">
        <v>38</v>
      </c>
      <c r="N33" s="149">
        <v>1420899</v>
      </c>
      <c r="O33" s="431">
        <v>1.358382866645409</v>
      </c>
      <c r="P33" s="432">
        <v>1.2532184807872024</v>
      </c>
      <c r="R33" s="430">
        <v>10</v>
      </c>
      <c r="S33" s="149">
        <v>427000</v>
      </c>
      <c r="T33" s="431">
        <v>0.8650324473671019</v>
      </c>
      <c r="U33" s="432">
        <v>0.8879310611330592</v>
      </c>
      <c r="W33" s="430">
        <v>39</v>
      </c>
      <c r="X33" s="149">
        <v>913075</v>
      </c>
      <c r="Y33" s="431">
        <v>2.023252882227486</v>
      </c>
      <c r="Z33" s="432">
        <v>1.8049694640964185</v>
      </c>
      <c r="AB33" s="430">
        <v>129</v>
      </c>
      <c r="AC33" s="149">
        <v>4157601</v>
      </c>
      <c r="AD33" s="431">
        <v>1.4650856461811423</v>
      </c>
      <c r="AE33" s="432">
        <v>1.3434508133446867</v>
      </c>
    </row>
    <row r="34" spans="2:31" ht="12.75">
      <c r="B34" s="134" t="s">
        <v>118</v>
      </c>
      <c r="C34" s="430">
        <v>27</v>
      </c>
      <c r="D34" s="149">
        <v>915202</v>
      </c>
      <c r="E34" s="431">
        <v>0.7077524848010134</v>
      </c>
      <c r="F34" s="432">
        <v>0.7500525933790907</v>
      </c>
      <c r="G34" s="425"/>
      <c r="H34" s="430">
        <v>76</v>
      </c>
      <c r="I34" s="149">
        <v>1263532</v>
      </c>
      <c r="J34" s="431">
        <v>1.4805215955503297</v>
      </c>
      <c r="K34" s="432">
        <v>0.9815458439037861</v>
      </c>
      <c r="M34" s="430">
        <v>100</v>
      </c>
      <c r="N34" s="149">
        <v>3335445</v>
      </c>
      <c r="O34" s="431">
        <v>1.2062791655684475</v>
      </c>
      <c r="P34" s="432">
        <v>1.0883957654512402</v>
      </c>
      <c r="R34" s="430">
        <v>46</v>
      </c>
      <c r="S34" s="149">
        <v>1322288</v>
      </c>
      <c r="T34" s="431">
        <v>1.4295441401276454</v>
      </c>
      <c r="U34" s="432">
        <v>1.1204349205299142</v>
      </c>
      <c r="W34" s="430">
        <v>78</v>
      </c>
      <c r="X34" s="149">
        <v>1608315</v>
      </c>
      <c r="Y34" s="431">
        <v>1.620189387676423</v>
      </c>
      <c r="Z34" s="432">
        <v>1.2658159311942623</v>
      </c>
      <c r="AB34" s="430">
        <v>327</v>
      </c>
      <c r="AC34" s="149">
        <v>8444782</v>
      </c>
      <c r="AD34" s="431">
        <v>1.294012501268788</v>
      </c>
      <c r="AE34" s="432">
        <v>1.05260375969786</v>
      </c>
    </row>
    <row r="35" spans="2:31" ht="12.75">
      <c r="B35" s="134" t="s">
        <v>119</v>
      </c>
      <c r="C35" s="430">
        <v>208</v>
      </c>
      <c r="D35" s="149">
        <v>4208576</v>
      </c>
      <c r="E35" s="431">
        <v>0.9027123076273381</v>
      </c>
      <c r="F35" s="432">
        <v>0.7520419621279698</v>
      </c>
      <c r="G35" s="425"/>
      <c r="H35" s="430">
        <v>652</v>
      </c>
      <c r="I35" s="149">
        <v>11826646</v>
      </c>
      <c r="J35" s="431">
        <v>1.2523761051402762</v>
      </c>
      <c r="K35" s="432">
        <v>1.1062372131082314</v>
      </c>
      <c r="M35" s="430">
        <v>340</v>
      </c>
      <c r="N35" s="149">
        <v>10050537</v>
      </c>
      <c r="O35" s="431">
        <v>1.065540419693182</v>
      </c>
      <c r="P35" s="432">
        <v>1.003412899519677</v>
      </c>
      <c r="R35" s="430">
        <v>166</v>
      </c>
      <c r="S35" s="149">
        <v>4855800</v>
      </c>
      <c r="T35" s="431">
        <v>1.3057277320130682</v>
      </c>
      <c r="U35" s="432">
        <v>1.1223896585565893</v>
      </c>
      <c r="W35" s="430">
        <v>287</v>
      </c>
      <c r="X35" s="149">
        <v>9409491</v>
      </c>
      <c r="Y35" s="431">
        <v>1.4773081099016325</v>
      </c>
      <c r="Z35" s="432">
        <v>1.4375785145748612</v>
      </c>
      <c r="AB35" s="430">
        <v>1653</v>
      </c>
      <c r="AC35" s="149">
        <v>40351050</v>
      </c>
      <c r="AD35" s="431">
        <v>1.1879109557470093</v>
      </c>
      <c r="AE35" s="432">
        <v>1.0854319520672977</v>
      </c>
    </row>
    <row r="36" spans="2:31" ht="12.75">
      <c r="B36" s="134" t="s">
        <v>34</v>
      </c>
      <c r="C36" s="430">
        <v>463</v>
      </c>
      <c r="D36" s="149">
        <v>8649131</v>
      </c>
      <c r="E36" s="431">
        <v>0.8081287348027277</v>
      </c>
      <c r="F36" s="432">
        <v>0.6792379290760774</v>
      </c>
      <c r="G36" s="425"/>
      <c r="H36" s="430">
        <v>2510</v>
      </c>
      <c r="I36" s="149">
        <v>36327376</v>
      </c>
      <c r="J36" s="431">
        <v>1.0330438799257902</v>
      </c>
      <c r="K36" s="432">
        <v>0.8876810875538426</v>
      </c>
      <c r="M36" s="430">
        <v>640</v>
      </c>
      <c r="N36" s="149">
        <v>14846046</v>
      </c>
      <c r="O36" s="431">
        <v>0.9986864931942969</v>
      </c>
      <c r="P36" s="432">
        <v>0.8947630843254558</v>
      </c>
      <c r="R36" s="430">
        <v>272</v>
      </c>
      <c r="S36" s="149">
        <v>7579339</v>
      </c>
      <c r="T36" s="431">
        <v>1.0859669395730847</v>
      </c>
      <c r="U36" s="432">
        <v>1.095888688100325</v>
      </c>
      <c r="W36" s="430">
        <v>280</v>
      </c>
      <c r="X36" s="149">
        <v>8743997</v>
      </c>
      <c r="Y36" s="431">
        <v>1.1694229478287415</v>
      </c>
      <c r="Z36" s="432">
        <v>1.0805754876235065</v>
      </c>
      <c r="AB36" s="430">
        <v>4165</v>
      </c>
      <c r="AC36" s="149">
        <v>76145889</v>
      </c>
      <c r="AD36" s="431">
        <v>1.0076485752602669</v>
      </c>
      <c r="AE36" s="432">
        <v>0.8931254276186769</v>
      </c>
    </row>
    <row r="37" spans="2:31" ht="12.75">
      <c r="B37" s="134" t="s">
        <v>35</v>
      </c>
      <c r="C37" s="430">
        <v>800</v>
      </c>
      <c r="D37" s="149">
        <v>18167160</v>
      </c>
      <c r="E37" s="431">
        <v>0.7597440642573311</v>
      </c>
      <c r="F37" s="432">
        <v>0.7729489018609873</v>
      </c>
      <c r="G37" s="425"/>
      <c r="H37" s="430">
        <v>6099</v>
      </c>
      <c r="I37" s="149">
        <v>88226853</v>
      </c>
      <c r="J37" s="431">
        <v>0.9323345803727465</v>
      </c>
      <c r="K37" s="432">
        <v>0.8550531148570092</v>
      </c>
      <c r="M37" s="430">
        <v>895</v>
      </c>
      <c r="N37" s="149">
        <v>19807309</v>
      </c>
      <c r="O37" s="431">
        <v>0.9756834289043428</v>
      </c>
      <c r="P37" s="432">
        <v>0.8710290132405283</v>
      </c>
      <c r="R37" s="430">
        <v>339</v>
      </c>
      <c r="S37" s="149">
        <v>7310080</v>
      </c>
      <c r="T37" s="431">
        <v>1.0299475009326482</v>
      </c>
      <c r="U37" s="432">
        <v>0.9358526609230011</v>
      </c>
      <c r="W37" s="430">
        <v>258</v>
      </c>
      <c r="X37" s="149">
        <v>7874889</v>
      </c>
      <c r="Y37" s="431">
        <v>1.0461845467107396</v>
      </c>
      <c r="Z37" s="432">
        <v>1.0227902368894701</v>
      </c>
      <c r="AB37" s="430">
        <v>8391</v>
      </c>
      <c r="AC37" s="149">
        <v>141386291</v>
      </c>
      <c r="AD37" s="431">
        <v>0.9233371232923977</v>
      </c>
      <c r="AE37" s="432">
        <v>0.8572124573057008</v>
      </c>
    </row>
    <row r="38" spans="2:31" ht="12.75">
      <c r="B38" s="135" t="s">
        <v>36</v>
      </c>
      <c r="C38" s="433">
        <v>600</v>
      </c>
      <c r="D38" s="152">
        <v>9479444</v>
      </c>
      <c r="E38" s="434">
        <v>0.7494819767946912</v>
      </c>
      <c r="F38" s="435">
        <v>0.7526600123918853</v>
      </c>
      <c r="G38" s="425"/>
      <c r="H38" s="433">
        <v>5130</v>
      </c>
      <c r="I38" s="152">
        <v>58887384</v>
      </c>
      <c r="J38" s="434">
        <v>0.9552130860304859</v>
      </c>
      <c r="K38" s="435">
        <v>0.83799253029425</v>
      </c>
      <c r="M38" s="433">
        <v>625</v>
      </c>
      <c r="N38" s="152">
        <v>11745978</v>
      </c>
      <c r="O38" s="434">
        <v>0.8317735582858916</v>
      </c>
      <c r="P38" s="435">
        <v>0.7816186364786148</v>
      </c>
      <c r="R38" s="433">
        <v>224</v>
      </c>
      <c r="S38" s="152">
        <v>5409636</v>
      </c>
      <c r="T38" s="434">
        <v>1.0670359627322474</v>
      </c>
      <c r="U38" s="435">
        <v>1.0727148942347176</v>
      </c>
      <c r="W38" s="433">
        <v>195</v>
      </c>
      <c r="X38" s="152">
        <v>4061103</v>
      </c>
      <c r="Y38" s="434">
        <v>0.999058067560407</v>
      </c>
      <c r="Z38" s="435">
        <v>0.972193520883246</v>
      </c>
      <c r="AB38" s="433">
        <v>6774</v>
      </c>
      <c r="AC38" s="152">
        <v>89583545</v>
      </c>
      <c r="AD38" s="434">
        <v>0.9244500270878541</v>
      </c>
      <c r="AE38" s="435">
        <v>0.8363343171836469</v>
      </c>
    </row>
    <row r="39" spans="5:31" ht="12.75">
      <c r="E39" s="426"/>
      <c r="F39" s="426"/>
      <c r="J39" s="426"/>
      <c r="K39" s="426"/>
      <c r="O39" s="426"/>
      <c r="P39" s="426"/>
      <c r="T39" s="426"/>
      <c r="U39" s="426"/>
      <c r="Y39" s="426"/>
      <c r="Z39" s="426"/>
      <c r="AC39" s="128"/>
      <c r="AD39" s="426"/>
      <c r="AE39" s="426"/>
    </row>
    <row r="40" spans="1:31" ht="12.75">
      <c r="A40" s="139" t="s">
        <v>218</v>
      </c>
      <c r="B40" s="133" t="s">
        <v>159</v>
      </c>
      <c r="C40" s="427">
        <v>635</v>
      </c>
      <c r="D40" s="146">
        <v>3406910</v>
      </c>
      <c r="E40" s="428">
        <v>0.7920447079426834</v>
      </c>
      <c r="F40" s="429">
        <v>0.7916439239020706</v>
      </c>
      <c r="G40" s="425"/>
      <c r="H40" s="427">
        <v>7127</v>
      </c>
      <c r="I40" s="146">
        <v>29505842</v>
      </c>
      <c r="J40" s="428">
        <v>1.045606532780605</v>
      </c>
      <c r="K40" s="429">
        <v>1.0709621331422938</v>
      </c>
      <c r="M40" s="427">
        <v>341</v>
      </c>
      <c r="N40" s="146">
        <v>1861772</v>
      </c>
      <c r="O40" s="428">
        <v>1.1565292861365386</v>
      </c>
      <c r="P40" s="429">
        <v>1.1377413868397646</v>
      </c>
      <c r="R40" s="427">
        <v>230</v>
      </c>
      <c r="S40" s="146">
        <v>1141162</v>
      </c>
      <c r="T40" s="428">
        <v>1.1529512670057183</v>
      </c>
      <c r="U40" s="429">
        <v>1.1243211814091802</v>
      </c>
      <c r="W40" s="427">
        <v>156</v>
      </c>
      <c r="X40" s="146">
        <v>757024</v>
      </c>
      <c r="Y40" s="428">
        <v>1.1780023466410843</v>
      </c>
      <c r="Z40" s="429">
        <v>1.1683711356648523</v>
      </c>
      <c r="AB40" s="427">
        <v>8489</v>
      </c>
      <c r="AC40" s="146">
        <v>36672710</v>
      </c>
      <c r="AD40" s="428">
        <v>1.0296404909008652</v>
      </c>
      <c r="AE40" s="429">
        <v>1.0432118969652597</v>
      </c>
    </row>
    <row r="41" spans="1:31" ht="12.75">
      <c r="A41" s="139" t="s">
        <v>219</v>
      </c>
      <c r="B41" s="134" t="s">
        <v>160</v>
      </c>
      <c r="C41" s="430">
        <v>867</v>
      </c>
      <c r="D41" s="149">
        <v>11029467</v>
      </c>
      <c r="E41" s="431">
        <v>0.822355129481381</v>
      </c>
      <c r="F41" s="432">
        <v>0.8046907767876963</v>
      </c>
      <c r="G41" s="425"/>
      <c r="H41" s="430">
        <v>4386</v>
      </c>
      <c r="I41" s="149">
        <v>48795915</v>
      </c>
      <c r="J41" s="431">
        <v>0.9953752835449351</v>
      </c>
      <c r="K41" s="432">
        <v>0.9822536649667977</v>
      </c>
      <c r="M41" s="430">
        <v>1185</v>
      </c>
      <c r="N41" s="149">
        <v>14202322</v>
      </c>
      <c r="O41" s="431">
        <v>1.0369984689264542</v>
      </c>
      <c r="P41" s="432">
        <v>1.0258394603622274</v>
      </c>
      <c r="R41" s="430">
        <v>301</v>
      </c>
      <c r="S41" s="149">
        <v>3776011</v>
      </c>
      <c r="T41" s="431">
        <v>1.17682379636241</v>
      </c>
      <c r="U41" s="432">
        <v>1.176612540541597</v>
      </c>
      <c r="W41" s="430">
        <v>327</v>
      </c>
      <c r="X41" s="149">
        <v>4327175</v>
      </c>
      <c r="Y41" s="431">
        <v>1.3530565671986676</v>
      </c>
      <c r="Z41" s="432">
        <v>1.3870240270874936</v>
      </c>
      <c r="AB41" s="430">
        <v>7066</v>
      </c>
      <c r="AC41" s="149">
        <v>82130890</v>
      </c>
      <c r="AD41" s="431">
        <v>0.9950940132954348</v>
      </c>
      <c r="AE41" s="432">
        <v>0.9829261674245985</v>
      </c>
    </row>
    <row r="42" spans="2:31" ht="12.75">
      <c r="B42" s="134" t="s">
        <v>161</v>
      </c>
      <c r="C42" s="430">
        <v>304</v>
      </c>
      <c r="D42" s="149">
        <v>9117207</v>
      </c>
      <c r="E42" s="431">
        <v>0.7342064464871696</v>
      </c>
      <c r="F42" s="432">
        <v>0.7299858267034225</v>
      </c>
      <c r="G42" s="425"/>
      <c r="H42" s="430">
        <v>1664</v>
      </c>
      <c r="I42" s="149">
        <v>45685349</v>
      </c>
      <c r="J42" s="431">
        <v>0.8175504418059263</v>
      </c>
      <c r="K42" s="432">
        <v>0.8074071183004377</v>
      </c>
      <c r="M42" s="430">
        <v>646</v>
      </c>
      <c r="N42" s="149">
        <v>18182981</v>
      </c>
      <c r="O42" s="431">
        <v>0.8953411974135171</v>
      </c>
      <c r="P42" s="432">
        <v>0.8929372141759131</v>
      </c>
      <c r="R42" s="430">
        <v>283</v>
      </c>
      <c r="S42" s="149">
        <v>8011663</v>
      </c>
      <c r="T42" s="431">
        <v>1.0622463605300183</v>
      </c>
      <c r="U42" s="432">
        <v>1.0461250431415048</v>
      </c>
      <c r="W42" s="430">
        <v>375</v>
      </c>
      <c r="X42" s="149">
        <v>10727852</v>
      </c>
      <c r="Y42" s="431">
        <v>1.3146099687189428</v>
      </c>
      <c r="Z42" s="432">
        <v>1.2796478185692248</v>
      </c>
      <c r="AB42" s="430">
        <v>3272</v>
      </c>
      <c r="AC42" s="149">
        <v>91725052</v>
      </c>
      <c r="AD42" s="431">
        <v>0.8789589215109445</v>
      </c>
      <c r="AE42" s="432">
        <v>0.8696186308259272</v>
      </c>
    </row>
    <row r="43" spans="2:31" ht="12.75">
      <c r="B43" s="135" t="s">
        <v>162</v>
      </c>
      <c r="C43" s="433">
        <v>331</v>
      </c>
      <c r="D43" s="152">
        <v>19051378</v>
      </c>
      <c r="E43" s="434">
        <v>0.7197270777525943</v>
      </c>
      <c r="F43" s="435">
        <v>0.7223326106295531</v>
      </c>
      <c r="G43" s="425"/>
      <c r="H43" s="433">
        <v>1339</v>
      </c>
      <c r="I43" s="152">
        <v>74043916</v>
      </c>
      <c r="J43" s="434">
        <v>0.7918609421692715</v>
      </c>
      <c r="K43" s="435">
        <v>0.790235617136979</v>
      </c>
      <c r="M43" s="433">
        <v>522</v>
      </c>
      <c r="N43" s="152">
        <v>29085239</v>
      </c>
      <c r="O43" s="434">
        <v>0.8271577896499416</v>
      </c>
      <c r="P43" s="435">
        <v>0.835071829191325</v>
      </c>
      <c r="R43" s="433">
        <v>259</v>
      </c>
      <c r="S43" s="152">
        <v>14517824</v>
      </c>
      <c r="T43" s="434">
        <v>1.0260364067032413</v>
      </c>
      <c r="U43" s="435">
        <v>1.0074350497593965</v>
      </c>
      <c r="W43" s="433">
        <v>325</v>
      </c>
      <c r="X43" s="152">
        <v>17841333</v>
      </c>
      <c r="Y43" s="434">
        <v>1.0830790985662628</v>
      </c>
      <c r="Z43" s="435">
        <v>1.076764623517818</v>
      </c>
      <c r="AB43" s="433">
        <v>2776</v>
      </c>
      <c r="AC43" s="152">
        <v>154539690</v>
      </c>
      <c r="AD43" s="434">
        <v>0.8325273947322563</v>
      </c>
      <c r="AE43" s="435">
        <v>0.831381400064923</v>
      </c>
    </row>
    <row r="44" spans="5:31" ht="12.75">
      <c r="E44" s="426"/>
      <c r="F44" s="426"/>
      <c r="J44" s="426"/>
      <c r="K44" s="426"/>
      <c r="O44" s="426"/>
      <c r="P44" s="426"/>
      <c r="T44" s="426"/>
      <c r="U44" s="426"/>
      <c r="Y44" s="426"/>
      <c r="Z44" s="426"/>
      <c r="AC44" s="128"/>
      <c r="AD44" s="426"/>
      <c r="AE44" s="426"/>
    </row>
    <row r="45" spans="1:31" ht="12.75">
      <c r="A45" s="139" t="s">
        <v>224</v>
      </c>
      <c r="B45" s="133" t="s">
        <v>220</v>
      </c>
      <c r="C45" s="427">
        <v>1484</v>
      </c>
      <c r="D45" s="146">
        <v>30428249</v>
      </c>
      <c r="E45" s="428">
        <v>0.7813958288521988</v>
      </c>
      <c r="F45" s="429">
        <v>0.7498454278796871</v>
      </c>
      <c r="G45" s="425"/>
      <c r="H45" s="427">
        <v>7333</v>
      </c>
      <c r="I45" s="146">
        <v>99672067</v>
      </c>
      <c r="J45" s="428">
        <v>0.9787738730579061</v>
      </c>
      <c r="K45" s="429">
        <v>0.8791698163399233</v>
      </c>
      <c r="M45" s="427">
        <v>1383</v>
      </c>
      <c r="N45" s="146">
        <v>32207347</v>
      </c>
      <c r="O45" s="428">
        <v>0.9752779383456536</v>
      </c>
      <c r="P45" s="429">
        <v>0.9207611313651314</v>
      </c>
      <c r="R45" s="427">
        <v>492</v>
      </c>
      <c r="S45" s="146">
        <v>12278964</v>
      </c>
      <c r="T45" s="428">
        <v>1.0251793209495523</v>
      </c>
      <c r="U45" s="429">
        <v>0.9499103628146643</v>
      </c>
      <c r="W45" s="427">
        <v>587</v>
      </c>
      <c r="X45" s="146">
        <v>16662379</v>
      </c>
      <c r="Y45" s="428">
        <v>1.2256548562188871</v>
      </c>
      <c r="Z45" s="429">
        <v>1.1782556297171458</v>
      </c>
      <c r="AB45" s="427">
        <v>11279</v>
      </c>
      <c r="AC45" s="146">
        <v>191249006</v>
      </c>
      <c r="AD45" s="428">
        <v>0.9584390443134668</v>
      </c>
      <c r="AE45" s="429">
        <v>0.8854240153885622</v>
      </c>
    </row>
    <row r="46" spans="1:31" ht="12.75">
      <c r="A46" s="139" t="s">
        <v>225</v>
      </c>
      <c r="B46" s="135" t="s">
        <v>221</v>
      </c>
      <c r="C46" s="433">
        <v>653</v>
      </c>
      <c r="D46" s="152">
        <v>12176713</v>
      </c>
      <c r="E46" s="434">
        <v>0.7859941476055329</v>
      </c>
      <c r="F46" s="435">
        <v>0.7472640688604973</v>
      </c>
      <c r="G46" s="425"/>
      <c r="H46" s="433">
        <v>7183</v>
      </c>
      <c r="I46" s="152">
        <v>98358955</v>
      </c>
      <c r="J46" s="434">
        <v>0.9632827500280324</v>
      </c>
      <c r="K46" s="435">
        <v>0.8617475344257914</v>
      </c>
      <c r="M46" s="433">
        <v>1311</v>
      </c>
      <c r="N46" s="152">
        <v>31124967</v>
      </c>
      <c r="O46" s="434">
        <v>0.9554691539027674</v>
      </c>
      <c r="P46" s="435">
        <v>0.8719784502659098</v>
      </c>
      <c r="R46" s="433">
        <v>581</v>
      </c>
      <c r="S46" s="152">
        <v>15167696</v>
      </c>
      <c r="T46" s="434">
        <v>1.1756624913785587</v>
      </c>
      <c r="U46" s="435">
        <v>1.1347244582469378</v>
      </c>
      <c r="W46" s="433">
        <v>596</v>
      </c>
      <c r="X46" s="152">
        <v>16991005</v>
      </c>
      <c r="Y46" s="434">
        <v>1.240371770220714</v>
      </c>
      <c r="Z46" s="435">
        <v>1.1654476531168798</v>
      </c>
      <c r="AB46" s="433">
        <v>10324</v>
      </c>
      <c r="AC46" s="152">
        <v>173819336</v>
      </c>
      <c r="AD46" s="434">
        <v>0.9708135969361393</v>
      </c>
      <c r="AE46" s="435">
        <v>0.8956321883186263</v>
      </c>
    </row>
    <row r="49" ht="12.75">
      <c r="B49" s="130" t="s">
        <v>248</v>
      </c>
    </row>
    <row r="50" ht="12.75">
      <c r="B50" s="130" t="s">
        <v>271</v>
      </c>
    </row>
  </sheetData>
  <sheetProtection/>
  <mergeCells count="20">
    <mergeCell ref="A6:AB6"/>
    <mergeCell ref="T10:U10"/>
    <mergeCell ref="W10:X10"/>
    <mergeCell ref="A7:AA7"/>
    <mergeCell ref="C8:F8"/>
    <mergeCell ref="H8:K8"/>
    <mergeCell ref="M8:P8"/>
    <mergeCell ref="R8:U8"/>
    <mergeCell ref="W8:Z8"/>
    <mergeCell ref="Y10:Z10"/>
    <mergeCell ref="AB10:AC10"/>
    <mergeCell ref="AD10:AE10"/>
    <mergeCell ref="AB8:AE8"/>
    <mergeCell ref="C10:D10"/>
    <mergeCell ref="E10:F10"/>
    <mergeCell ref="H10:I10"/>
    <mergeCell ref="J10:K10"/>
    <mergeCell ref="M10:N10"/>
    <mergeCell ref="O10:P10"/>
    <mergeCell ref="R10:S10"/>
  </mergeCells>
  <printOptions/>
  <pageMargins left="0.75" right="0.75" top="1" bottom="1" header="0.5" footer="0.5"/>
  <pageSetup fitToHeight="4" fitToWidth="1" horizontalDpi="600" verticalDpi="600" orientation="landscape" scale="42" r:id="rId1"/>
  <headerFooter alignWithMargins="0">
    <oddFooter>&amp;L&amp;F&amp;R&amp;"Arial,Italic"&amp;A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E55"/>
  <sheetViews>
    <sheetView zoomScale="85" zoomScaleNormal="85" zoomScaleSheetLayoutView="85" zoomScalePageLayoutView="0" workbookViewId="0" topLeftCell="A7">
      <selection activeCell="B4" sqref="B4"/>
    </sheetView>
  </sheetViews>
  <sheetFormatPr defaultColWidth="9.140625" defaultRowHeight="12.75"/>
  <cols>
    <col min="1" max="1" width="12.00390625" style="139" bestFit="1" customWidth="1"/>
    <col min="2" max="2" width="26.28125" style="130" bestFit="1" customWidth="1"/>
    <col min="3" max="3" width="9.140625" style="419" customWidth="1"/>
    <col min="4" max="4" width="12.28125" style="128" bestFit="1" customWidth="1"/>
    <col min="5" max="5" width="9.00390625" style="420" bestFit="1" customWidth="1"/>
    <col min="6" max="6" width="10.7109375" style="420" customWidth="1"/>
    <col min="7" max="7" width="2.7109375" style="420" customWidth="1"/>
    <col min="8" max="8" width="9.140625" style="419" customWidth="1"/>
    <col min="9" max="9" width="13.421875" style="128" bestFit="1" customWidth="1"/>
    <col min="10" max="11" width="9.140625" style="420" customWidth="1"/>
    <col min="12" max="12" width="2.7109375" style="420" customWidth="1"/>
    <col min="13" max="13" width="9.140625" style="419" customWidth="1"/>
    <col min="14" max="14" width="13.421875" style="128" bestFit="1" customWidth="1"/>
    <col min="15" max="16" width="9.140625" style="420" customWidth="1"/>
    <col min="17" max="17" width="2.7109375" style="420" customWidth="1"/>
    <col min="18" max="18" width="9.140625" style="419" customWidth="1"/>
    <col min="19" max="19" width="12.28125" style="128" bestFit="1" customWidth="1"/>
    <col min="20" max="21" width="9.140625" style="420" customWidth="1"/>
    <col min="22" max="22" width="2.7109375" style="420" customWidth="1"/>
    <col min="23" max="23" width="9.140625" style="419" customWidth="1"/>
    <col min="24" max="24" width="12.28125" style="128" bestFit="1" customWidth="1"/>
    <col min="25" max="26" width="9.140625" style="420" customWidth="1"/>
    <col min="27" max="27" width="2.7109375" style="420" customWidth="1"/>
    <col min="28" max="28" width="9.140625" style="419" customWidth="1"/>
    <col min="29" max="29" width="13.421875" style="420" bestFit="1" customWidth="1"/>
    <col min="30" max="31" width="9.140625" style="420" customWidth="1"/>
    <col min="32" max="16384" width="9.140625" style="421" customWidth="1"/>
  </cols>
  <sheetData>
    <row r="1" spans="1:31" s="186" customFormat="1" ht="21.75" customHeight="1">
      <c r="A1" s="1"/>
      <c r="B1" s="416"/>
      <c r="C1" s="417"/>
      <c r="D1" s="417"/>
      <c r="E1" s="418"/>
      <c r="F1" s="418"/>
      <c r="G1" s="418"/>
      <c r="H1" s="417"/>
      <c r="I1" s="417"/>
      <c r="J1" s="418"/>
      <c r="K1" s="418"/>
      <c r="L1" s="119"/>
      <c r="M1" s="167"/>
      <c r="N1" s="167"/>
      <c r="O1" s="119"/>
      <c r="P1" s="119" t="s">
        <v>222</v>
      </c>
      <c r="Q1" s="119"/>
      <c r="R1" s="167"/>
      <c r="S1" s="167"/>
      <c r="T1" s="119"/>
      <c r="U1" s="119"/>
      <c r="V1" s="119"/>
      <c r="W1" s="417"/>
      <c r="X1" s="417"/>
      <c r="Y1" s="418"/>
      <c r="Z1" s="418"/>
      <c r="AA1" s="418"/>
      <c r="AB1" s="417"/>
      <c r="AC1" s="417"/>
      <c r="AD1" s="418"/>
      <c r="AE1" s="195"/>
    </row>
    <row r="2" spans="1:31" s="186" customFormat="1" ht="18">
      <c r="A2" s="1"/>
      <c r="B2" s="416"/>
      <c r="C2" s="417"/>
      <c r="D2" s="417"/>
      <c r="E2" s="418"/>
      <c r="F2" s="418"/>
      <c r="G2" s="418"/>
      <c r="H2" s="417"/>
      <c r="I2" s="417"/>
      <c r="J2" s="418"/>
      <c r="K2" s="418"/>
      <c r="L2" s="120"/>
      <c r="M2" s="168"/>
      <c r="N2" s="168"/>
      <c r="O2" s="120"/>
      <c r="P2" s="120" t="s">
        <v>80</v>
      </c>
      <c r="Q2" s="120"/>
      <c r="R2" s="168"/>
      <c r="S2" s="168"/>
      <c r="T2" s="120"/>
      <c r="U2" s="120"/>
      <c r="V2" s="120"/>
      <c r="W2" s="417"/>
      <c r="X2" s="417"/>
      <c r="Y2" s="418"/>
      <c r="Z2" s="418"/>
      <c r="AA2" s="418"/>
      <c r="AB2" s="417"/>
      <c r="AC2" s="417"/>
      <c r="AD2" s="418"/>
      <c r="AE2" s="195"/>
    </row>
    <row r="3" spans="1:31" s="186" customFormat="1" ht="15.75">
      <c r="A3" s="1"/>
      <c r="B3" s="416"/>
      <c r="C3" s="417"/>
      <c r="D3" s="417"/>
      <c r="E3" s="418"/>
      <c r="F3" s="418"/>
      <c r="G3" s="418"/>
      <c r="H3" s="417"/>
      <c r="I3" s="417"/>
      <c r="J3" s="418"/>
      <c r="K3" s="418"/>
      <c r="L3" s="121"/>
      <c r="M3" s="169"/>
      <c r="N3" s="169"/>
      <c r="O3" s="121"/>
      <c r="P3" s="121" t="s">
        <v>1</v>
      </c>
      <c r="Q3" s="121"/>
      <c r="R3" s="169"/>
      <c r="S3" s="169"/>
      <c r="T3" s="121"/>
      <c r="U3" s="121"/>
      <c r="V3" s="121"/>
      <c r="W3" s="417"/>
      <c r="X3" s="417"/>
      <c r="Y3" s="418"/>
      <c r="Z3" s="418"/>
      <c r="AA3" s="418"/>
      <c r="AB3" s="417"/>
      <c r="AC3" s="417"/>
      <c r="AD3" s="418"/>
      <c r="AE3" s="195"/>
    </row>
    <row r="4" spans="1:31" s="186" customFormat="1" ht="14.25" customHeight="1">
      <c r="A4" s="1"/>
      <c r="B4" s="416"/>
      <c r="C4" s="417"/>
      <c r="D4" s="417"/>
      <c r="E4" s="418"/>
      <c r="F4" s="418"/>
      <c r="G4" s="418"/>
      <c r="H4" s="417"/>
      <c r="I4" s="417"/>
      <c r="J4" s="418"/>
      <c r="K4" s="418"/>
      <c r="L4" s="129"/>
      <c r="M4" s="203"/>
      <c r="N4" s="203"/>
      <c r="O4" s="129"/>
      <c r="P4" s="129" t="s">
        <v>234</v>
      </c>
      <c r="Q4" s="129"/>
      <c r="R4" s="203"/>
      <c r="S4" s="203"/>
      <c r="T4" s="129"/>
      <c r="U4" s="129"/>
      <c r="V4" s="129"/>
      <c r="W4" s="417"/>
      <c r="X4" s="417"/>
      <c r="Y4" s="418"/>
      <c r="Z4" s="418"/>
      <c r="AA4" s="418"/>
      <c r="AB4" s="417"/>
      <c r="AC4" s="417"/>
      <c r="AD4" s="418"/>
      <c r="AE4" s="195"/>
    </row>
    <row r="5" spans="1:31" s="186" customFormat="1" ht="15.75">
      <c r="A5" s="1"/>
      <c r="B5" s="416"/>
      <c r="C5" s="417"/>
      <c r="D5" s="417"/>
      <c r="E5" s="418"/>
      <c r="F5" s="418"/>
      <c r="G5" s="418"/>
      <c r="H5" s="417"/>
      <c r="I5" s="417"/>
      <c r="J5" s="418"/>
      <c r="K5" s="418"/>
      <c r="L5" s="122"/>
      <c r="M5" s="171"/>
      <c r="N5" s="171"/>
      <c r="O5" s="122"/>
      <c r="P5" s="122" t="s">
        <v>233</v>
      </c>
      <c r="Q5" s="122"/>
      <c r="R5" s="171"/>
      <c r="S5" s="171"/>
      <c r="T5" s="122"/>
      <c r="U5" s="122"/>
      <c r="V5" s="122"/>
      <c r="W5" s="417"/>
      <c r="X5" s="417"/>
      <c r="Y5" s="418"/>
      <c r="Z5" s="418"/>
      <c r="AA5" s="418"/>
      <c r="AB5" s="417"/>
      <c r="AC5" s="417"/>
      <c r="AD5" s="418"/>
      <c r="AE5" s="195"/>
    </row>
    <row r="6" spans="1:28" ht="12.75">
      <c r="A6" s="454"/>
      <c r="B6" s="454"/>
      <c r="C6" s="454"/>
      <c r="D6" s="454"/>
      <c r="E6" s="454"/>
      <c r="F6" s="454"/>
      <c r="G6" s="454"/>
      <c r="H6" s="454"/>
      <c r="I6" s="454"/>
      <c r="J6" s="454"/>
      <c r="K6" s="454"/>
      <c r="L6" s="454"/>
      <c r="M6" s="454"/>
      <c r="N6" s="454"/>
      <c r="O6" s="454"/>
      <c r="P6" s="454"/>
      <c r="Q6" s="454"/>
      <c r="R6" s="454"/>
      <c r="S6" s="454"/>
      <c r="T6" s="454"/>
      <c r="U6" s="454"/>
      <c r="V6" s="454"/>
      <c r="W6" s="454"/>
      <c r="X6" s="454"/>
      <c r="Y6" s="454"/>
      <c r="Z6" s="454"/>
      <c r="AA6" s="454"/>
      <c r="AB6" s="454"/>
    </row>
    <row r="7" spans="1:27" ht="12.75">
      <c r="A7" s="678" t="s">
        <v>232</v>
      </c>
      <c r="B7" s="678"/>
      <c r="C7" s="678"/>
      <c r="D7" s="678"/>
      <c r="E7" s="678"/>
      <c r="F7" s="678"/>
      <c r="G7" s="678"/>
      <c r="H7" s="678"/>
      <c r="I7" s="678"/>
      <c r="J7" s="678"/>
      <c r="K7" s="678"/>
      <c r="L7" s="678"/>
      <c r="M7" s="678"/>
      <c r="N7" s="678"/>
      <c r="O7" s="678"/>
      <c r="P7" s="678"/>
      <c r="Q7" s="678"/>
      <c r="R7" s="678"/>
      <c r="S7" s="678"/>
      <c r="T7" s="678"/>
      <c r="U7" s="678"/>
      <c r="V7" s="678"/>
      <c r="W7" s="678"/>
      <c r="X7" s="678"/>
      <c r="Y7" s="678"/>
      <c r="Z7" s="678"/>
      <c r="AA7" s="678"/>
    </row>
    <row r="8" spans="3:31" ht="12.75">
      <c r="C8" s="678" t="s">
        <v>209</v>
      </c>
      <c r="D8" s="678"/>
      <c r="E8" s="678"/>
      <c r="F8" s="678"/>
      <c r="G8" s="126"/>
      <c r="H8" s="678" t="s">
        <v>210</v>
      </c>
      <c r="I8" s="678"/>
      <c r="J8" s="678"/>
      <c r="K8" s="678"/>
      <c r="M8" s="678" t="s">
        <v>211</v>
      </c>
      <c r="N8" s="678"/>
      <c r="O8" s="678"/>
      <c r="P8" s="678"/>
      <c r="R8" s="678" t="s">
        <v>212</v>
      </c>
      <c r="S8" s="678"/>
      <c r="T8" s="678"/>
      <c r="U8" s="678"/>
      <c r="W8" s="678" t="s">
        <v>213</v>
      </c>
      <c r="X8" s="678"/>
      <c r="Y8" s="678"/>
      <c r="Z8" s="678"/>
      <c r="AB8" s="678" t="s">
        <v>214</v>
      </c>
      <c r="AC8" s="678"/>
      <c r="AD8" s="678"/>
      <c r="AE8" s="678"/>
    </row>
    <row r="10" spans="3:31" ht="12.75">
      <c r="C10" s="680" t="s">
        <v>215</v>
      </c>
      <c r="D10" s="680"/>
      <c r="E10" s="680" t="s">
        <v>216</v>
      </c>
      <c r="F10" s="680"/>
      <c r="H10" s="680" t="s">
        <v>215</v>
      </c>
      <c r="I10" s="680"/>
      <c r="J10" s="680" t="s">
        <v>216</v>
      </c>
      <c r="K10" s="680"/>
      <c r="M10" s="680" t="s">
        <v>215</v>
      </c>
      <c r="N10" s="680"/>
      <c r="O10" s="680" t="s">
        <v>216</v>
      </c>
      <c r="P10" s="680"/>
      <c r="R10" s="680" t="s">
        <v>215</v>
      </c>
      <c r="S10" s="680"/>
      <c r="T10" s="680" t="s">
        <v>216</v>
      </c>
      <c r="U10" s="680"/>
      <c r="W10" s="680" t="s">
        <v>215</v>
      </c>
      <c r="X10" s="680"/>
      <c r="Y10" s="680" t="s">
        <v>216</v>
      </c>
      <c r="Z10" s="680"/>
      <c r="AB10" s="680" t="s">
        <v>215</v>
      </c>
      <c r="AC10" s="680"/>
      <c r="AD10" s="680" t="s">
        <v>216</v>
      </c>
      <c r="AE10" s="680"/>
    </row>
    <row r="11" spans="3:31" ht="12.75">
      <c r="C11" s="419" t="s">
        <v>258</v>
      </c>
      <c r="D11" s="128" t="s">
        <v>217</v>
      </c>
      <c r="E11" s="420" t="s">
        <v>258</v>
      </c>
      <c r="F11" s="420" t="s">
        <v>217</v>
      </c>
      <c r="H11" s="419" t="s">
        <v>258</v>
      </c>
      <c r="I11" s="128" t="s">
        <v>217</v>
      </c>
      <c r="J11" s="420" t="s">
        <v>258</v>
      </c>
      <c r="K11" s="420" t="s">
        <v>217</v>
      </c>
      <c r="M11" s="419" t="s">
        <v>258</v>
      </c>
      <c r="N11" s="128" t="s">
        <v>217</v>
      </c>
      <c r="O11" s="420" t="s">
        <v>258</v>
      </c>
      <c r="P11" s="420" t="s">
        <v>217</v>
      </c>
      <c r="R11" s="419" t="s">
        <v>258</v>
      </c>
      <c r="S11" s="128" t="s">
        <v>217</v>
      </c>
      <c r="T11" s="420" t="s">
        <v>258</v>
      </c>
      <c r="U11" s="420" t="s">
        <v>217</v>
      </c>
      <c r="W11" s="419" t="s">
        <v>258</v>
      </c>
      <c r="X11" s="128" t="s">
        <v>217</v>
      </c>
      <c r="Y11" s="420" t="s">
        <v>258</v>
      </c>
      <c r="Z11" s="420" t="s">
        <v>217</v>
      </c>
      <c r="AB11" s="419" t="s">
        <v>258</v>
      </c>
      <c r="AC11" s="128" t="s">
        <v>217</v>
      </c>
      <c r="AD11" s="420" t="s">
        <v>258</v>
      </c>
      <c r="AE11" s="420" t="s">
        <v>217</v>
      </c>
    </row>
    <row r="13" spans="1:31" ht="12.75">
      <c r="A13" s="139" t="s">
        <v>10</v>
      </c>
      <c r="B13" s="131"/>
      <c r="C13" s="422">
        <v>173</v>
      </c>
      <c r="D13" s="140">
        <v>34858697</v>
      </c>
      <c r="E13" s="423">
        <v>0.6596340777183197</v>
      </c>
      <c r="F13" s="424">
        <v>0.5710072619242218</v>
      </c>
      <c r="G13" s="425"/>
      <c r="H13" s="422">
        <v>625</v>
      </c>
      <c r="I13" s="140">
        <v>120230313</v>
      </c>
      <c r="J13" s="423">
        <v>0.7643564890667944</v>
      </c>
      <c r="K13" s="424">
        <v>0.72719742696363</v>
      </c>
      <c r="M13" s="422">
        <v>660</v>
      </c>
      <c r="N13" s="140">
        <v>147197220</v>
      </c>
      <c r="O13" s="423">
        <v>0.7874090430707508</v>
      </c>
      <c r="P13" s="424">
        <v>0.8104097964889772</v>
      </c>
      <c r="R13" s="422">
        <v>303</v>
      </c>
      <c r="S13" s="140">
        <v>55338571</v>
      </c>
      <c r="T13" s="423">
        <v>0.8564845149295638</v>
      </c>
      <c r="U13" s="424">
        <v>0.8703324765642769</v>
      </c>
      <c r="W13" s="422">
        <v>179</v>
      </c>
      <c r="X13" s="140">
        <v>38589848</v>
      </c>
      <c r="Y13" s="423">
        <v>0.9935467749333001</v>
      </c>
      <c r="Z13" s="424">
        <v>1.139445976009508</v>
      </c>
      <c r="AB13" s="422">
        <v>1940</v>
      </c>
      <c r="AC13" s="140">
        <v>396214649</v>
      </c>
      <c r="AD13" s="423">
        <v>0.7911668875972585</v>
      </c>
      <c r="AE13" s="424">
        <v>0.7838616025329485</v>
      </c>
    </row>
    <row r="14" spans="5:31" ht="12.75">
      <c r="E14" s="426"/>
      <c r="F14" s="426"/>
      <c r="J14" s="426"/>
      <c r="K14" s="426"/>
      <c r="O14" s="426"/>
      <c r="P14" s="426"/>
      <c r="T14" s="426"/>
      <c r="U14" s="426"/>
      <c r="Y14" s="426"/>
      <c r="Z14" s="426"/>
      <c r="AC14" s="128"/>
      <c r="AD14" s="426"/>
      <c r="AE14" s="426"/>
    </row>
    <row r="15" spans="1:31" ht="12.75">
      <c r="A15" s="112" t="s">
        <v>11</v>
      </c>
      <c r="B15" s="133" t="s">
        <v>16</v>
      </c>
      <c r="C15" s="427">
        <v>3</v>
      </c>
      <c r="D15" s="146">
        <v>550000</v>
      </c>
      <c r="E15" s="428">
        <v>0.9028530155290697</v>
      </c>
      <c r="F15" s="429">
        <v>0.983159721563552</v>
      </c>
      <c r="G15" s="425"/>
      <c r="H15" s="427">
        <v>7</v>
      </c>
      <c r="I15" s="146">
        <v>1409000</v>
      </c>
      <c r="J15" s="428">
        <v>0.5958897229453333</v>
      </c>
      <c r="K15" s="429">
        <v>0.7941805624743395</v>
      </c>
      <c r="M15" s="427">
        <v>14</v>
      </c>
      <c r="N15" s="146">
        <v>1615381</v>
      </c>
      <c r="O15" s="428">
        <v>0.7509110159718808</v>
      </c>
      <c r="P15" s="429">
        <v>0.6997202754471369</v>
      </c>
      <c r="R15" s="427">
        <v>2</v>
      </c>
      <c r="S15" s="146">
        <v>225000</v>
      </c>
      <c r="T15" s="428">
        <v>0.5640778314591853</v>
      </c>
      <c r="U15" s="429">
        <v>0.45570455845041236</v>
      </c>
      <c r="W15" s="427">
        <v>0</v>
      </c>
      <c r="X15" s="146">
        <v>0</v>
      </c>
      <c r="Y15" s="428">
        <v>0</v>
      </c>
      <c r="Z15" s="429">
        <v>0</v>
      </c>
      <c r="AB15" s="427">
        <v>26</v>
      </c>
      <c r="AC15" s="146">
        <v>3799381</v>
      </c>
      <c r="AD15" s="428">
        <v>0.6399237604676806</v>
      </c>
      <c r="AE15" s="429">
        <v>0.6791327624280763</v>
      </c>
    </row>
    <row r="16" spans="2:31" ht="12.75">
      <c r="B16" s="134" t="s">
        <v>17</v>
      </c>
      <c r="C16" s="430">
        <v>5</v>
      </c>
      <c r="D16" s="149">
        <v>500000</v>
      </c>
      <c r="E16" s="431">
        <v>0.4149453351015544</v>
      </c>
      <c r="F16" s="432">
        <v>0.2547985299021774</v>
      </c>
      <c r="G16" s="425"/>
      <c r="H16" s="430">
        <v>22</v>
      </c>
      <c r="I16" s="149">
        <v>3537035</v>
      </c>
      <c r="J16" s="431">
        <v>0.6746297509266965</v>
      </c>
      <c r="K16" s="432">
        <v>0.7168178498399606</v>
      </c>
      <c r="M16" s="430">
        <v>25</v>
      </c>
      <c r="N16" s="149">
        <v>3177774</v>
      </c>
      <c r="O16" s="431">
        <v>0.5725772595673682</v>
      </c>
      <c r="P16" s="432">
        <v>0.5668822689568936</v>
      </c>
      <c r="R16" s="430">
        <v>5</v>
      </c>
      <c r="S16" s="149">
        <v>694491</v>
      </c>
      <c r="T16" s="431">
        <v>0.41077478697219555</v>
      </c>
      <c r="U16" s="432">
        <v>0.389969802130944</v>
      </c>
      <c r="W16" s="430">
        <v>8</v>
      </c>
      <c r="X16" s="149">
        <v>1000000</v>
      </c>
      <c r="Y16" s="431">
        <v>0.8745864845777613</v>
      </c>
      <c r="Z16" s="432">
        <v>0.743451235836183</v>
      </c>
      <c r="AB16" s="430">
        <v>65</v>
      </c>
      <c r="AC16" s="149">
        <v>8909300</v>
      </c>
      <c r="AD16" s="431">
        <v>0.5928396462699121</v>
      </c>
      <c r="AE16" s="432">
        <v>0.5700727103564147</v>
      </c>
    </row>
    <row r="17" spans="2:31" ht="12.75">
      <c r="B17" s="134" t="s">
        <v>18</v>
      </c>
      <c r="C17" s="430">
        <v>19</v>
      </c>
      <c r="D17" s="149">
        <v>3376662</v>
      </c>
      <c r="E17" s="431">
        <v>0.6801508359769712</v>
      </c>
      <c r="F17" s="432">
        <v>0.7072001637968646</v>
      </c>
      <c r="G17" s="425"/>
      <c r="H17" s="430">
        <v>45</v>
      </c>
      <c r="I17" s="149">
        <v>6058295</v>
      </c>
      <c r="J17" s="431">
        <v>0.6405867204949327</v>
      </c>
      <c r="K17" s="432">
        <v>0.535545636089937</v>
      </c>
      <c r="M17" s="430">
        <v>49</v>
      </c>
      <c r="N17" s="149">
        <v>6498587</v>
      </c>
      <c r="O17" s="431">
        <v>0.5725646197598346</v>
      </c>
      <c r="P17" s="432">
        <v>0.5573439598042126</v>
      </c>
      <c r="R17" s="430">
        <v>24</v>
      </c>
      <c r="S17" s="149">
        <v>3103991</v>
      </c>
      <c r="T17" s="431">
        <v>0.8190955751433165</v>
      </c>
      <c r="U17" s="432">
        <v>0.6992550953388569</v>
      </c>
      <c r="W17" s="430">
        <v>12</v>
      </c>
      <c r="X17" s="149">
        <v>2500000</v>
      </c>
      <c r="Y17" s="431">
        <v>0.7196600326005997</v>
      </c>
      <c r="Z17" s="432">
        <v>0.9757811349353793</v>
      </c>
      <c r="AB17" s="430">
        <v>149</v>
      </c>
      <c r="AC17" s="149">
        <v>21537535</v>
      </c>
      <c r="AD17" s="431">
        <v>0.6485646328825906</v>
      </c>
      <c r="AE17" s="432">
        <v>0.619820181813816</v>
      </c>
    </row>
    <row r="18" spans="2:31" ht="12.75">
      <c r="B18" s="134" t="s">
        <v>19</v>
      </c>
      <c r="C18" s="430">
        <v>21</v>
      </c>
      <c r="D18" s="149">
        <v>2700152</v>
      </c>
      <c r="E18" s="431">
        <v>0.5181146449545393</v>
      </c>
      <c r="F18" s="432">
        <v>0.37934902389984243</v>
      </c>
      <c r="G18" s="425"/>
      <c r="H18" s="430">
        <v>73</v>
      </c>
      <c r="I18" s="149">
        <v>10879257</v>
      </c>
      <c r="J18" s="431">
        <v>0.6517578399995212</v>
      </c>
      <c r="K18" s="432">
        <v>0.5848133474276045</v>
      </c>
      <c r="M18" s="430">
        <v>90</v>
      </c>
      <c r="N18" s="149">
        <v>11995563</v>
      </c>
      <c r="O18" s="431">
        <v>0.7760347366944316</v>
      </c>
      <c r="P18" s="432">
        <v>0.6969199859893651</v>
      </c>
      <c r="R18" s="430">
        <v>28</v>
      </c>
      <c r="S18" s="149">
        <v>3834532</v>
      </c>
      <c r="T18" s="431">
        <v>0.6051710570025736</v>
      </c>
      <c r="U18" s="432">
        <v>0.523819199594059</v>
      </c>
      <c r="W18" s="430">
        <v>26</v>
      </c>
      <c r="X18" s="149">
        <v>3265170</v>
      </c>
      <c r="Y18" s="431">
        <v>1.056979315727851</v>
      </c>
      <c r="Z18" s="432">
        <v>0.8324356448135177</v>
      </c>
      <c r="AB18" s="430">
        <v>238</v>
      </c>
      <c r="AC18" s="149">
        <v>32674674</v>
      </c>
      <c r="AD18" s="431">
        <v>0.70128529092997</v>
      </c>
      <c r="AE18" s="432">
        <v>0.6031227220052638</v>
      </c>
    </row>
    <row r="19" spans="2:31" ht="12.75">
      <c r="B19" s="134" t="s">
        <v>104</v>
      </c>
      <c r="C19" s="430">
        <v>23</v>
      </c>
      <c r="D19" s="149">
        <v>2995715</v>
      </c>
      <c r="E19" s="431">
        <v>0.5317235518393469</v>
      </c>
      <c r="F19" s="432">
        <v>0.3659544861404626</v>
      </c>
      <c r="G19" s="425"/>
      <c r="H19" s="430">
        <v>80</v>
      </c>
      <c r="I19" s="149">
        <v>14441578</v>
      </c>
      <c r="J19" s="431">
        <v>0.6169438698297801</v>
      </c>
      <c r="K19" s="432">
        <v>0.6372141443763639</v>
      </c>
      <c r="M19" s="430">
        <v>89</v>
      </c>
      <c r="N19" s="149">
        <v>11496159</v>
      </c>
      <c r="O19" s="431">
        <v>0.7379918363177224</v>
      </c>
      <c r="P19" s="432">
        <v>0.5758579705167063</v>
      </c>
      <c r="R19" s="430">
        <v>43</v>
      </c>
      <c r="S19" s="149">
        <v>6333379</v>
      </c>
      <c r="T19" s="431">
        <v>0.7679145993244858</v>
      </c>
      <c r="U19" s="432">
        <v>0.7211145182669101</v>
      </c>
      <c r="W19" s="430">
        <v>18</v>
      </c>
      <c r="X19" s="149">
        <v>3012000</v>
      </c>
      <c r="Y19" s="431">
        <v>0.6662681396127877</v>
      </c>
      <c r="Z19" s="432">
        <v>0.6632389917296551</v>
      </c>
      <c r="AB19" s="430">
        <v>253</v>
      </c>
      <c r="AC19" s="149">
        <v>38278831</v>
      </c>
      <c r="AD19" s="431">
        <v>0.6719136126245357</v>
      </c>
      <c r="AE19" s="432">
        <v>0.596826396403798</v>
      </c>
    </row>
    <row r="20" spans="2:31" ht="12.75">
      <c r="B20" s="134" t="s">
        <v>105</v>
      </c>
      <c r="C20" s="430">
        <v>28</v>
      </c>
      <c r="D20" s="149">
        <v>4594892</v>
      </c>
      <c r="E20" s="431">
        <v>0.7343172134969607</v>
      </c>
      <c r="F20" s="432">
        <v>0.563040121502146</v>
      </c>
      <c r="G20" s="425"/>
      <c r="H20" s="430">
        <v>98</v>
      </c>
      <c r="I20" s="149">
        <v>14695554</v>
      </c>
      <c r="J20" s="431">
        <v>0.8103228516418752</v>
      </c>
      <c r="K20" s="432">
        <v>0.6619604285234061</v>
      </c>
      <c r="M20" s="430">
        <v>80</v>
      </c>
      <c r="N20" s="149">
        <v>15834077</v>
      </c>
      <c r="O20" s="431">
        <v>0.7481238923090615</v>
      </c>
      <c r="P20" s="432">
        <v>0.782689890088804</v>
      </c>
      <c r="R20" s="430">
        <v>51</v>
      </c>
      <c r="S20" s="149">
        <v>7512111</v>
      </c>
      <c r="T20" s="431">
        <v>0.850811106588279</v>
      </c>
      <c r="U20" s="432">
        <v>0.7893431365652015</v>
      </c>
      <c r="W20" s="430">
        <v>26</v>
      </c>
      <c r="X20" s="149">
        <v>3534250</v>
      </c>
      <c r="Y20" s="431">
        <v>1.0266433697594295</v>
      </c>
      <c r="Z20" s="432">
        <v>0.7869711646184289</v>
      </c>
      <c r="AB20" s="430">
        <v>283</v>
      </c>
      <c r="AC20" s="149">
        <v>46170884</v>
      </c>
      <c r="AD20" s="431">
        <v>0.805642756024743</v>
      </c>
      <c r="AE20" s="432">
        <v>0.714729421178267</v>
      </c>
    </row>
    <row r="21" spans="2:31" ht="12.75">
      <c r="B21" s="134" t="s">
        <v>106</v>
      </c>
      <c r="C21" s="430">
        <v>17</v>
      </c>
      <c r="D21" s="149">
        <v>4328191</v>
      </c>
      <c r="E21" s="431">
        <v>0.5711755262710512</v>
      </c>
      <c r="F21" s="432">
        <v>0.6480221006110377</v>
      </c>
      <c r="G21" s="425"/>
      <c r="H21" s="430">
        <v>66</v>
      </c>
      <c r="I21" s="149">
        <v>9795610</v>
      </c>
      <c r="J21" s="431">
        <v>0.706399497814175</v>
      </c>
      <c r="K21" s="432">
        <v>0.4916972019108937</v>
      </c>
      <c r="M21" s="430">
        <v>68</v>
      </c>
      <c r="N21" s="149">
        <v>14760586</v>
      </c>
      <c r="O21" s="431">
        <v>0.8284887050185448</v>
      </c>
      <c r="P21" s="432">
        <v>0.8673112707503099</v>
      </c>
      <c r="R21" s="430">
        <v>38</v>
      </c>
      <c r="S21" s="149">
        <v>5753419</v>
      </c>
      <c r="T21" s="431">
        <v>0.8012210608968068</v>
      </c>
      <c r="U21" s="432">
        <v>0.7038919970700742</v>
      </c>
      <c r="W21" s="430">
        <v>21</v>
      </c>
      <c r="X21" s="149">
        <v>4101358</v>
      </c>
      <c r="Y21" s="431">
        <v>1.0937180998887521</v>
      </c>
      <c r="Z21" s="432">
        <v>1.1788468797332878</v>
      </c>
      <c r="AB21" s="430">
        <v>210</v>
      </c>
      <c r="AC21" s="149">
        <v>38739164</v>
      </c>
      <c r="AD21" s="431">
        <v>0.7723426026459845</v>
      </c>
      <c r="AE21" s="432">
        <v>0.7008726814995258</v>
      </c>
    </row>
    <row r="22" spans="2:31" ht="12.75">
      <c r="B22" s="134" t="s">
        <v>107</v>
      </c>
      <c r="C22" s="430">
        <v>13</v>
      </c>
      <c r="D22" s="149">
        <v>3086022</v>
      </c>
      <c r="E22" s="431">
        <v>0.6205072885740742</v>
      </c>
      <c r="F22" s="432">
        <v>0.49015025556095315</v>
      </c>
      <c r="G22" s="425"/>
      <c r="H22" s="430">
        <v>52</v>
      </c>
      <c r="I22" s="149">
        <v>9888438</v>
      </c>
      <c r="J22" s="431">
        <v>0.6953438970334784</v>
      </c>
      <c r="K22" s="432">
        <v>0.5885320901115644</v>
      </c>
      <c r="M22" s="430">
        <v>54</v>
      </c>
      <c r="N22" s="149">
        <v>13095681</v>
      </c>
      <c r="O22" s="431">
        <v>0.816771649553539</v>
      </c>
      <c r="P22" s="432">
        <v>0.8220837349593223</v>
      </c>
      <c r="R22" s="430">
        <v>30</v>
      </c>
      <c r="S22" s="149">
        <v>6617711</v>
      </c>
      <c r="T22" s="431">
        <v>0.7633216808038087</v>
      </c>
      <c r="U22" s="432">
        <v>0.8996437198374054</v>
      </c>
      <c r="W22" s="430">
        <v>11</v>
      </c>
      <c r="X22" s="149">
        <v>1881600</v>
      </c>
      <c r="Y22" s="431">
        <v>0.7674811269413777</v>
      </c>
      <c r="Z22" s="432">
        <v>0.5807035161254909</v>
      </c>
      <c r="AB22" s="430">
        <v>160</v>
      </c>
      <c r="AC22" s="149">
        <v>34569452</v>
      </c>
      <c r="AD22" s="431">
        <v>0.7425207279302024</v>
      </c>
      <c r="AE22" s="432">
        <v>0.6966285906313744</v>
      </c>
    </row>
    <row r="23" spans="2:31" ht="12.75">
      <c r="B23" s="134" t="s">
        <v>108</v>
      </c>
      <c r="C23" s="430">
        <v>11</v>
      </c>
      <c r="D23" s="149">
        <v>2780845</v>
      </c>
      <c r="E23" s="431">
        <v>0.6526570856606487</v>
      </c>
      <c r="F23" s="432">
        <v>0.4210289946940966</v>
      </c>
      <c r="G23" s="425"/>
      <c r="H23" s="430">
        <v>76</v>
      </c>
      <c r="I23" s="149">
        <v>19245466</v>
      </c>
      <c r="J23" s="431">
        <v>1.1586104114560971</v>
      </c>
      <c r="K23" s="432">
        <v>1.1406165033772275</v>
      </c>
      <c r="M23" s="430">
        <v>72</v>
      </c>
      <c r="N23" s="149">
        <v>19933917</v>
      </c>
      <c r="O23" s="431">
        <v>1.050965859520023</v>
      </c>
      <c r="P23" s="432">
        <v>0.9225213230752162</v>
      </c>
      <c r="R23" s="430">
        <v>41</v>
      </c>
      <c r="S23" s="149">
        <v>9315930</v>
      </c>
      <c r="T23" s="431">
        <v>1.5107604836644422</v>
      </c>
      <c r="U23" s="432">
        <v>1.572210238728422</v>
      </c>
      <c r="W23" s="430">
        <v>15</v>
      </c>
      <c r="X23" s="149">
        <v>3403513</v>
      </c>
      <c r="Y23" s="431">
        <v>1.0871085593854783</v>
      </c>
      <c r="Z23" s="432">
        <v>1.0621222141865974</v>
      </c>
      <c r="AB23" s="430">
        <v>215</v>
      </c>
      <c r="AC23" s="149">
        <v>54679671</v>
      </c>
      <c r="AD23" s="431">
        <v>1.120403628794548</v>
      </c>
      <c r="AE23" s="432">
        <v>1.0085589744696946</v>
      </c>
    </row>
    <row r="24" spans="2:31" ht="12.75">
      <c r="B24" s="134" t="s">
        <v>109</v>
      </c>
      <c r="C24" s="430">
        <v>12</v>
      </c>
      <c r="D24" s="149">
        <v>3439712</v>
      </c>
      <c r="E24" s="431">
        <v>0.8347924810241228</v>
      </c>
      <c r="F24" s="432">
        <v>0.67823030154735</v>
      </c>
      <c r="G24" s="425"/>
      <c r="H24" s="430">
        <v>42</v>
      </c>
      <c r="I24" s="149">
        <v>10691850</v>
      </c>
      <c r="J24" s="431">
        <v>0.878075642871583</v>
      </c>
      <c r="K24" s="432">
        <v>0.8241713458666952</v>
      </c>
      <c r="M24" s="430">
        <v>43</v>
      </c>
      <c r="N24" s="149">
        <v>13970678</v>
      </c>
      <c r="O24" s="431">
        <v>0.6374468917793058</v>
      </c>
      <c r="P24" s="432">
        <v>0.66865319147598</v>
      </c>
      <c r="R24" s="430">
        <v>24</v>
      </c>
      <c r="S24" s="149">
        <v>5379040</v>
      </c>
      <c r="T24" s="431">
        <v>1.3190291945128398</v>
      </c>
      <c r="U24" s="432">
        <v>1.206275820655267</v>
      </c>
      <c r="W24" s="430">
        <v>20</v>
      </c>
      <c r="X24" s="149">
        <v>7802365</v>
      </c>
      <c r="Y24" s="431">
        <v>1.727661765290239</v>
      </c>
      <c r="Z24" s="432">
        <v>3.023361011731608</v>
      </c>
      <c r="AB24" s="430">
        <v>141</v>
      </c>
      <c r="AC24" s="149">
        <v>41283645</v>
      </c>
      <c r="AD24" s="431">
        <v>0.8843738294591077</v>
      </c>
      <c r="AE24" s="432">
        <v>0.8978978227584057</v>
      </c>
    </row>
    <row r="25" spans="2:31" ht="12.75">
      <c r="B25" s="134" t="s">
        <v>110</v>
      </c>
      <c r="C25" s="430">
        <v>13</v>
      </c>
      <c r="D25" s="149">
        <v>3070495</v>
      </c>
      <c r="E25" s="431">
        <v>1.4730594424809937</v>
      </c>
      <c r="F25" s="432">
        <v>1.02313989608214</v>
      </c>
      <c r="G25" s="425"/>
      <c r="H25" s="430">
        <v>39</v>
      </c>
      <c r="I25" s="149">
        <v>10302082</v>
      </c>
      <c r="J25" s="431">
        <v>1.1342794969383176</v>
      </c>
      <c r="K25" s="432">
        <v>1.0734966840701605</v>
      </c>
      <c r="M25" s="430">
        <v>51</v>
      </c>
      <c r="N25" s="149">
        <v>19202653</v>
      </c>
      <c r="O25" s="431">
        <v>1.158273799574118</v>
      </c>
      <c r="P25" s="432">
        <v>1.1563578852894443</v>
      </c>
      <c r="R25" s="430">
        <v>10</v>
      </c>
      <c r="S25" s="149">
        <v>4296648</v>
      </c>
      <c r="T25" s="431">
        <v>1.110975325238027</v>
      </c>
      <c r="U25" s="432">
        <v>1.3211477964645748</v>
      </c>
      <c r="W25" s="430">
        <v>9</v>
      </c>
      <c r="X25" s="149">
        <v>4227310</v>
      </c>
      <c r="Y25" s="431">
        <v>1.2362348681418156</v>
      </c>
      <c r="Z25" s="432">
        <v>2.41320805827777</v>
      </c>
      <c r="AB25" s="430">
        <v>122</v>
      </c>
      <c r="AC25" s="149">
        <v>41099188</v>
      </c>
      <c r="AD25" s="431">
        <v>1.1785100811877527</v>
      </c>
      <c r="AE25" s="432">
        <v>1.2014530763174252</v>
      </c>
    </row>
    <row r="26" spans="2:31" ht="12.75">
      <c r="B26" s="134" t="s">
        <v>111</v>
      </c>
      <c r="C26" s="430">
        <v>6</v>
      </c>
      <c r="D26" s="149">
        <v>2686011</v>
      </c>
      <c r="E26" s="431">
        <v>1.2260686721063243</v>
      </c>
      <c r="F26" s="432">
        <v>1.219152661360598</v>
      </c>
      <c r="G26" s="425"/>
      <c r="H26" s="430">
        <v>12</v>
      </c>
      <c r="I26" s="149">
        <v>5450737</v>
      </c>
      <c r="J26" s="431">
        <v>0.8260059720231776</v>
      </c>
      <c r="K26" s="432">
        <v>1.222388779939462</v>
      </c>
      <c r="M26" s="430">
        <v>20</v>
      </c>
      <c r="N26" s="149">
        <v>7545889</v>
      </c>
      <c r="O26" s="431">
        <v>1.399578167140424</v>
      </c>
      <c r="P26" s="432">
        <v>1.0876303751596563</v>
      </c>
      <c r="R26" s="430">
        <v>6</v>
      </c>
      <c r="S26" s="149">
        <v>2126819</v>
      </c>
      <c r="T26" s="431">
        <v>1.4501160092807426</v>
      </c>
      <c r="U26" s="432">
        <v>1.3461085590518815</v>
      </c>
      <c r="W26" s="430">
        <v>10</v>
      </c>
      <c r="X26" s="149">
        <v>2052157</v>
      </c>
      <c r="Y26" s="431">
        <v>1.8149446169650136</v>
      </c>
      <c r="Z26" s="432">
        <v>1.328247754452828</v>
      </c>
      <c r="AB26" s="430">
        <v>54</v>
      </c>
      <c r="AC26" s="149">
        <v>19861613</v>
      </c>
      <c r="AD26" s="431">
        <v>1.2454201978557542</v>
      </c>
      <c r="AE26" s="432">
        <v>1.1875284528661891</v>
      </c>
    </row>
    <row r="27" spans="2:31" ht="12.75">
      <c r="B27" s="134" t="s">
        <v>112</v>
      </c>
      <c r="C27" s="430">
        <v>2</v>
      </c>
      <c r="D27" s="149">
        <v>750000</v>
      </c>
      <c r="E27" s="431">
        <v>1.4496745480639597</v>
      </c>
      <c r="F27" s="432">
        <v>1.7414492881229056</v>
      </c>
      <c r="G27" s="425"/>
      <c r="H27" s="430">
        <v>10</v>
      </c>
      <c r="I27" s="149">
        <v>3204812</v>
      </c>
      <c r="J27" s="431">
        <v>1.2610388185579517</v>
      </c>
      <c r="K27" s="432">
        <v>1.1430671259395293</v>
      </c>
      <c r="M27" s="430">
        <v>5</v>
      </c>
      <c r="N27" s="149">
        <v>8070275</v>
      </c>
      <c r="O27" s="431">
        <v>1.2661785970234671</v>
      </c>
      <c r="P27" s="432">
        <v>1.4753165633092813</v>
      </c>
      <c r="R27" s="430">
        <v>1</v>
      </c>
      <c r="S27" s="149">
        <v>145500</v>
      </c>
      <c r="T27" s="431">
        <v>0.7436105265506141</v>
      </c>
      <c r="U27" s="432">
        <v>0.28914822588631656</v>
      </c>
      <c r="W27" s="430">
        <v>2</v>
      </c>
      <c r="X27" s="149">
        <v>310125</v>
      </c>
      <c r="Y27" s="431">
        <v>1.0761250887803198</v>
      </c>
      <c r="Z27" s="432">
        <v>0.8004233122148764</v>
      </c>
      <c r="AB27" s="430">
        <v>20</v>
      </c>
      <c r="AC27" s="149">
        <v>12480712</v>
      </c>
      <c r="AD27" s="431">
        <v>1.2149347063715428</v>
      </c>
      <c r="AE27" s="432">
        <v>1.3007213636540527</v>
      </c>
    </row>
    <row r="28" spans="2:31" ht="12.75">
      <c r="B28" s="134" t="s">
        <v>113</v>
      </c>
      <c r="C28" s="430"/>
      <c r="D28" s="149"/>
      <c r="E28" s="431"/>
      <c r="F28" s="432"/>
      <c r="G28" s="425"/>
      <c r="H28" s="430">
        <v>3</v>
      </c>
      <c r="I28" s="149">
        <v>630599</v>
      </c>
      <c r="J28" s="431">
        <v>1.5176502726711658</v>
      </c>
      <c r="K28" s="432">
        <v>1.5117409467827576</v>
      </c>
      <c r="M28" s="430">
        <v>0</v>
      </c>
      <c r="N28" s="149">
        <v>0</v>
      </c>
      <c r="O28" s="431">
        <v>0</v>
      </c>
      <c r="P28" s="432">
        <v>0</v>
      </c>
      <c r="R28" s="430"/>
      <c r="S28" s="149"/>
      <c r="T28" s="431"/>
      <c r="U28" s="432"/>
      <c r="W28" s="430">
        <v>1</v>
      </c>
      <c r="X28" s="149">
        <v>1500000</v>
      </c>
      <c r="Y28" s="431">
        <v>2.1062830423152263</v>
      </c>
      <c r="Z28" s="432">
        <v>4.188336754321374</v>
      </c>
      <c r="AB28" s="430">
        <v>4</v>
      </c>
      <c r="AC28" s="149">
        <v>2130599</v>
      </c>
      <c r="AD28" s="431">
        <v>1.4156836513312736</v>
      </c>
      <c r="AE28" s="432">
        <v>2.211924642416512</v>
      </c>
    </row>
    <row r="29" spans="2:31" ht="12.75">
      <c r="B29" s="135" t="s">
        <v>114</v>
      </c>
      <c r="C29" s="433"/>
      <c r="D29" s="152"/>
      <c r="E29" s="434"/>
      <c r="F29" s="435"/>
      <c r="G29" s="425"/>
      <c r="H29" s="433"/>
      <c r="I29" s="152"/>
      <c r="J29" s="434"/>
      <c r="K29" s="435"/>
      <c r="M29" s="433"/>
      <c r="N29" s="152"/>
      <c r="O29" s="434"/>
      <c r="P29" s="435"/>
      <c r="R29" s="433"/>
      <c r="S29" s="152"/>
      <c r="T29" s="434"/>
      <c r="U29" s="435"/>
      <c r="W29" s="433"/>
      <c r="X29" s="152"/>
      <c r="Y29" s="434"/>
      <c r="Z29" s="435"/>
      <c r="AB29" s="433"/>
      <c r="AC29" s="152"/>
      <c r="AD29" s="434"/>
      <c r="AE29" s="435"/>
    </row>
    <row r="30" spans="5:31" ht="12.75">
      <c r="E30" s="426"/>
      <c r="F30" s="426"/>
      <c r="J30" s="426"/>
      <c r="K30" s="426"/>
      <c r="O30" s="426"/>
      <c r="P30" s="426"/>
      <c r="T30" s="426"/>
      <c r="U30" s="426"/>
      <c r="Y30" s="426"/>
      <c r="Z30" s="426"/>
      <c r="AC30" s="128"/>
      <c r="AD30" s="426"/>
      <c r="AE30" s="426"/>
    </row>
    <row r="31" spans="1:31" ht="12.75">
      <c r="A31" s="139" t="s">
        <v>28</v>
      </c>
      <c r="B31" s="133" t="s">
        <v>115</v>
      </c>
      <c r="C31" s="427">
        <v>4</v>
      </c>
      <c r="D31" s="146">
        <v>675000</v>
      </c>
      <c r="E31" s="428">
        <v>0.5106841507897104</v>
      </c>
      <c r="F31" s="429">
        <v>0.259542351420129</v>
      </c>
      <c r="G31" s="425"/>
      <c r="H31" s="427">
        <v>5</v>
      </c>
      <c r="I31" s="146">
        <v>550000</v>
      </c>
      <c r="J31" s="428">
        <v>0.22409736941061953</v>
      </c>
      <c r="K31" s="429">
        <v>0.09431973076980862</v>
      </c>
      <c r="M31" s="427">
        <v>13</v>
      </c>
      <c r="N31" s="146">
        <v>1610000</v>
      </c>
      <c r="O31" s="428">
        <v>0.6139874850458648</v>
      </c>
      <c r="P31" s="429">
        <v>0.32669371143058606</v>
      </c>
      <c r="R31" s="427">
        <v>4</v>
      </c>
      <c r="S31" s="146">
        <v>500000</v>
      </c>
      <c r="T31" s="428">
        <v>0.6903097765122096</v>
      </c>
      <c r="U31" s="429">
        <v>0.313699562056789</v>
      </c>
      <c r="W31" s="427">
        <v>6</v>
      </c>
      <c r="X31" s="146">
        <v>1600000</v>
      </c>
      <c r="Y31" s="428">
        <v>0.8891035909412185</v>
      </c>
      <c r="Z31" s="429">
        <v>1.2063411217530708</v>
      </c>
      <c r="AB31" s="427">
        <v>32</v>
      </c>
      <c r="AC31" s="146">
        <v>4935000</v>
      </c>
      <c r="AD31" s="428">
        <v>0.5010937937967728</v>
      </c>
      <c r="AE31" s="429">
        <v>0.30312651527438556</v>
      </c>
    </row>
    <row r="32" spans="2:31" ht="12.75">
      <c r="B32" s="134" t="s">
        <v>116</v>
      </c>
      <c r="C32" s="430">
        <v>6</v>
      </c>
      <c r="D32" s="149">
        <v>1650000</v>
      </c>
      <c r="E32" s="431">
        <v>0.5707757127323895</v>
      </c>
      <c r="F32" s="432">
        <v>0.5202704182260369</v>
      </c>
      <c r="G32" s="425"/>
      <c r="H32" s="430">
        <v>21</v>
      </c>
      <c r="I32" s="149">
        <v>4584231</v>
      </c>
      <c r="J32" s="431">
        <v>0.7895084107082929</v>
      </c>
      <c r="K32" s="432">
        <v>0.7195889046723043</v>
      </c>
      <c r="M32" s="430">
        <v>20</v>
      </c>
      <c r="N32" s="149">
        <v>3677721</v>
      </c>
      <c r="O32" s="431">
        <v>0.7882649421531801</v>
      </c>
      <c r="P32" s="432">
        <v>0.5650790335422168</v>
      </c>
      <c r="R32" s="430">
        <v>6</v>
      </c>
      <c r="S32" s="149">
        <v>928628</v>
      </c>
      <c r="T32" s="431">
        <v>0.5113332759503776</v>
      </c>
      <c r="U32" s="432">
        <v>0.2901577587861064</v>
      </c>
      <c r="W32" s="430">
        <v>2</v>
      </c>
      <c r="X32" s="149">
        <v>2209320</v>
      </c>
      <c r="Y32" s="431">
        <v>0.24246391833815267</v>
      </c>
      <c r="Z32" s="432">
        <v>1.308076192090876</v>
      </c>
      <c r="AB32" s="430">
        <v>55</v>
      </c>
      <c r="AC32" s="149">
        <v>13049900</v>
      </c>
      <c r="AD32" s="431">
        <v>0.666943953668005</v>
      </c>
      <c r="AE32" s="432">
        <v>0.6232105967694278</v>
      </c>
    </row>
    <row r="33" spans="2:31" ht="12.75">
      <c r="B33" s="134" t="s">
        <v>117</v>
      </c>
      <c r="C33" s="430">
        <v>6</v>
      </c>
      <c r="D33" s="149">
        <v>1424350</v>
      </c>
      <c r="E33" s="431">
        <v>0.5197190052578241</v>
      </c>
      <c r="F33" s="432">
        <v>0.4142325854833986</v>
      </c>
      <c r="G33" s="425"/>
      <c r="H33" s="430">
        <v>12</v>
      </c>
      <c r="I33" s="149">
        <v>2330000</v>
      </c>
      <c r="J33" s="431">
        <v>0.4997738523318198</v>
      </c>
      <c r="K33" s="432">
        <v>0.44837600563654806</v>
      </c>
      <c r="M33" s="430">
        <v>26</v>
      </c>
      <c r="N33" s="149">
        <v>6215381</v>
      </c>
      <c r="O33" s="431">
        <v>0.8975486221075197</v>
      </c>
      <c r="P33" s="432">
        <v>0.7937556433734874</v>
      </c>
      <c r="R33" s="430">
        <v>15</v>
      </c>
      <c r="S33" s="149">
        <v>2884177</v>
      </c>
      <c r="T33" s="431">
        <v>0.917858403819758</v>
      </c>
      <c r="U33" s="432">
        <v>0.7394944806203279</v>
      </c>
      <c r="W33" s="430">
        <v>8</v>
      </c>
      <c r="X33" s="149">
        <v>2236881</v>
      </c>
      <c r="Y33" s="431">
        <v>0.9045220448982141</v>
      </c>
      <c r="Z33" s="432">
        <v>1.2469946505249856</v>
      </c>
      <c r="AB33" s="430">
        <v>67</v>
      </c>
      <c r="AC33" s="149">
        <v>15090789</v>
      </c>
      <c r="AD33" s="431">
        <v>0.7468493824391707</v>
      </c>
      <c r="AE33" s="432">
        <v>0.6810100258564956</v>
      </c>
    </row>
    <row r="34" spans="2:31" ht="12.75">
      <c r="B34" s="134" t="s">
        <v>118</v>
      </c>
      <c r="C34" s="430">
        <v>12</v>
      </c>
      <c r="D34" s="149">
        <v>1764052</v>
      </c>
      <c r="E34" s="431">
        <v>0.5190230601945639</v>
      </c>
      <c r="F34" s="432">
        <v>0.27900799789014846</v>
      </c>
      <c r="G34" s="425"/>
      <c r="H34" s="430">
        <v>46</v>
      </c>
      <c r="I34" s="149">
        <v>7729488</v>
      </c>
      <c r="J34" s="431">
        <v>0.8937036634078844</v>
      </c>
      <c r="K34" s="432">
        <v>0.7091629305790815</v>
      </c>
      <c r="M34" s="430">
        <v>69</v>
      </c>
      <c r="N34" s="149">
        <v>14401455</v>
      </c>
      <c r="O34" s="431">
        <v>0.938411636304292</v>
      </c>
      <c r="P34" s="432">
        <v>0.8896365074234</v>
      </c>
      <c r="R34" s="430">
        <v>33</v>
      </c>
      <c r="S34" s="149">
        <v>4819000</v>
      </c>
      <c r="T34" s="431">
        <v>0.7997155920548967</v>
      </c>
      <c r="U34" s="432">
        <v>0.5636389197414278</v>
      </c>
      <c r="W34" s="430">
        <v>18</v>
      </c>
      <c r="X34" s="149">
        <v>3650587</v>
      </c>
      <c r="Y34" s="431">
        <v>0.9681156489440537</v>
      </c>
      <c r="Z34" s="432">
        <v>0.9552449094332467</v>
      </c>
      <c r="AB34" s="430">
        <v>178</v>
      </c>
      <c r="AC34" s="149">
        <v>32364582</v>
      </c>
      <c r="AD34" s="431">
        <v>0.8558616062166384</v>
      </c>
      <c r="AE34" s="432">
        <v>0.706936055443164</v>
      </c>
    </row>
    <row r="35" spans="2:31" ht="12.75">
      <c r="B35" s="134" t="s">
        <v>119</v>
      </c>
      <c r="C35" s="430">
        <v>42</v>
      </c>
      <c r="D35" s="149">
        <v>7419245</v>
      </c>
      <c r="E35" s="431">
        <v>0.7150820335298562</v>
      </c>
      <c r="F35" s="432">
        <v>0.5078933999824556</v>
      </c>
      <c r="G35" s="425"/>
      <c r="H35" s="430">
        <v>143</v>
      </c>
      <c r="I35" s="149">
        <v>29943808</v>
      </c>
      <c r="J35" s="431">
        <v>0.8570042296454907</v>
      </c>
      <c r="K35" s="432">
        <v>0.8328570582067367</v>
      </c>
      <c r="M35" s="430">
        <v>160</v>
      </c>
      <c r="N35" s="149">
        <v>38852933</v>
      </c>
      <c r="O35" s="431">
        <v>0.8706464277649162</v>
      </c>
      <c r="P35" s="432">
        <v>0.9608611250718464</v>
      </c>
      <c r="R35" s="430">
        <v>89</v>
      </c>
      <c r="S35" s="149">
        <v>19293619</v>
      </c>
      <c r="T35" s="431">
        <v>0.8615157062057223</v>
      </c>
      <c r="U35" s="432">
        <v>1.090654815255051</v>
      </c>
      <c r="W35" s="430">
        <v>59</v>
      </c>
      <c r="X35" s="149">
        <v>12096646</v>
      </c>
      <c r="Y35" s="431">
        <v>0.924964236022653</v>
      </c>
      <c r="Z35" s="432">
        <v>0.9885345886420837</v>
      </c>
      <c r="AB35" s="430">
        <v>493</v>
      </c>
      <c r="AC35" s="149">
        <v>107606251</v>
      </c>
      <c r="AD35" s="431">
        <v>0.8552214365190653</v>
      </c>
      <c r="AE35" s="432">
        <v>0.8898710604361423</v>
      </c>
    </row>
    <row r="36" spans="2:31" ht="12.75">
      <c r="B36" s="134" t="s">
        <v>34</v>
      </c>
      <c r="C36" s="430">
        <v>39</v>
      </c>
      <c r="D36" s="149">
        <v>9498634</v>
      </c>
      <c r="E36" s="431">
        <v>0.7087304874230327</v>
      </c>
      <c r="F36" s="432">
        <v>0.7346686910612492</v>
      </c>
      <c r="G36" s="425"/>
      <c r="H36" s="430">
        <v>156</v>
      </c>
      <c r="I36" s="149">
        <v>33833643</v>
      </c>
      <c r="J36" s="431">
        <v>0.7667848465619276</v>
      </c>
      <c r="K36" s="432">
        <v>0.7884521948858724</v>
      </c>
      <c r="M36" s="430">
        <v>146</v>
      </c>
      <c r="N36" s="149">
        <v>32974804</v>
      </c>
      <c r="O36" s="431">
        <v>0.7900912171133291</v>
      </c>
      <c r="P36" s="432">
        <v>0.8239857946974262</v>
      </c>
      <c r="R36" s="430">
        <v>67</v>
      </c>
      <c r="S36" s="149">
        <v>11981819</v>
      </c>
      <c r="T36" s="431">
        <v>0.9194960612631391</v>
      </c>
      <c r="U36" s="432">
        <v>0.9926848115542072</v>
      </c>
      <c r="W36" s="430">
        <v>43</v>
      </c>
      <c r="X36" s="149">
        <v>9948941</v>
      </c>
      <c r="Y36" s="431">
        <v>1.0206741101502002</v>
      </c>
      <c r="Z36" s="432">
        <v>1.2025967455159612</v>
      </c>
      <c r="AB36" s="430">
        <v>451</v>
      </c>
      <c r="AC36" s="149">
        <v>98237841</v>
      </c>
      <c r="AD36" s="431">
        <v>0.807869212172393</v>
      </c>
      <c r="AE36" s="432">
        <v>0.8454038615258066</v>
      </c>
    </row>
    <row r="37" spans="2:31" ht="12.75">
      <c r="B37" s="134" t="s">
        <v>35</v>
      </c>
      <c r="C37" s="430">
        <v>48</v>
      </c>
      <c r="D37" s="149">
        <v>10465094</v>
      </c>
      <c r="E37" s="431">
        <v>0.7015617641822888</v>
      </c>
      <c r="F37" s="432">
        <v>0.7624944495591267</v>
      </c>
      <c r="G37" s="425"/>
      <c r="H37" s="430">
        <v>173</v>
      </c>
      <c r="I37" s="149">
        <v>30670017</v>
      </c>
      <c r="J37" s="431">
        <v>0.7007980712740803</v>
      </c>
      <c r="K37" s="432">
        <v>0.6608484427316894</v>
      </c>
      <c r="M37" s="430">
        <v>160</v>
      </c>
      <c r="N37" s="149">
        <v>39061609</v>
      </c>
      <c r="O37" s="431">
        <v>0.6730054243395939</v>
      </c>
      <c r="P37" s="432">
        <v>0.7449283840197869</v>
      </c>
      <c r="R37" s="430">
        <v>71</v>
      </c>
      <c r="S37" s="149">
        <v>11170782</v>
      </c>
      <c r="T37" s="431">
        <v>0.9061612584154942</v>
      </c>
      <c r="U37" s="432">
        <v>0.8781571451547333</v>
      </c>
      <c r="W37" s="430">
        <v>31</v>
      </c>
      <c r="X37" s="149">
        <v>5398324</v>
      </c>
      <c r="Y37" s="431">
        <v>1.3407034541278307</v>
      </c>
      <c r="Z37" s="432">
        <v>1.4807434012650662</v>
      </c>
      <c r="AB37" s="430">
        <v>483</v>
      </c>
      <c r="AC37" s="149">
        <v>96765826</v>
      </c>
      <c r="AD37" s="431">
        <v>0.7379742061055312</v>
      </c>
      <c r="AE37" s="432">
        <v>0.7504833782906364</v>
      </c>
    </row>
    <row r="38" spans="2:31" ht="12.75">
      <c r="B38" s="135" t="s">
        <v>36</v>
      </c>
      <c r="C38" s="433">
        <v>16</v>
      </c>
      <c r="D38" s="152">
        <v>1962322</v>
      </c>
      <c r="E38" s="434">
        <v>0.5909368750150034</v>
      </c>
      <c r="F38" s="435">
        <v>0.4614376783538491</v>
      </c>
      <c r="G38" s="425"/>
      <c r="H38" s="433">
        <v>69</v>
      </c>
      <c r="I38" s="152">
        <v>10589126</v>
      </c>
      <c r="J38" s="434">
        <v>0.9064630023841297</v>
      </c>
      <c r="K38" s="435">
        <v>0.9003355983975957</v>
      </c>
      <c r="M38" s="433">
        <v>66</v>
      </c>
      <c r="N38" s="152">
        <v>10403317</v>
      </c>
      <c r="O38" s="434">
        <v>0.7966138600190144</v>
      </c>
      <c r="P38" s="435">
        <v>0.7829525591075734</v>
      </c>
      <c r="R38" s="433">
        <v>18</v>
      </c>
      <c r="S38" s="152">
        <v>3760546</v>
      </c>
      <c r="T38" s="434">
        <v>0.7465370014843654</v>
      </c>
      <c r="U38" s="435">
        <v>0.9746936151882315</v>
      </c>
      <c r="W38" s="433">
        <v>12</v>
      </c>
      <c r="X38" s="152">
        <v>1449149</v>
      </c>
      <c r="Y38" s="434">
        <v>1.3807577598586116</v>
      </c>
      <c r="Z38" s="435">
        <v>1.3406408172507343</v>
      </c>
      <c r="AB38" s="433">
        <v>181</v>
      </c>
      <c r="AC38" s="152">
        <v>28164460</v>
      </c>
      <c r="AD38" s="434">
        <v>0.8270558575248652</v>
      </c>
      <c r="AE38" s="435">
        <v>0.8225518635860569</v>
      </c>
    </row>
    <row r="39" spans="5:31" ht="12.75">
      <c r="E39" s="426"/>
      <c r="F39" s="426"/>
      <c r="J39" s="426"/>
      <c r="K39" s="426"/>
      <c r="O39" s="426"/>
      <c r="P39" s="426"/>
      <c r="T39" s="426"/>
      <c r="U39" s="426"/>
      <c r="Y39" s="426"/>
      <c r="Z39" s="426"/>
      <c r="AC39" s="128"/>
      <c r="AD39" s="426"/>
      <c r="AE39" s="426"/>
    </row>
    <row r="40" spans="1:31" ht="12.75">
      <c r="A40" s="139" t="s">
        <v>218</v>
      </c>
      <c r="B40" s="136" t="s">
        <v>163</v>
      </c>
      <c r="C40" s="427">
        <v>134</v>
      </c>
      <c r="D40" s="146">
        <v>16601337</v>
      </c>
      <c r="E40" s="428">
        <v>0.6740471814918305</v>
      </c>
      <c r="F40" s="429">
        <v>0.6844987572702705</v>
      </c>
      <c r="G40" s="425"/>
      <c r="H40" s="427">
        <v>498</v>
      </c>
      <c r="I40" s="146">
        <v>59151588</v>
      </c>
      <c r="J40" s="428">
        <v>0.7750218850306353</v>
      </c>
      <c r="K40" s="429">
        <v>0.772888783906532</v>
      </c>
      <c r="M40" s="427">
        <v>530</v>
      </c>
      <c r="N40" s="146">
        <v>64425861</v>
      </c>
      <c r="O40" s="428">
        <v>0.7674076581260862</v>
      </c>
      <c r="P40" s="429">
        <v>0.7747757946156888</v>
      </c>
      <c r="R40" s="427">
        <v>247</v>
      </c>
      <c r="S40" s="146">
        <v>29440566</v>
      </c>
      <c r="T40" s="428">
        <v>0.8401003358700683</v>
      </c>
      <c r="U40" s="429">
        <v>0.8440913366597648</v>
      </c>
      <c r="W40" s="427">
        <v>144</v>
      </c>
      <c r="X40" s="146">
        <v>17927035</v>
      </c>
      <c r="Y40" s="428">
        <v>1.0050109567132084</v>
      </c>
      <c r="Z40" s="429">
        <v>1.0199307101339254</v>
      </c>
      <c r="AB40" s="427">
        <v>1553</v>
      </c>
      <c r="AC40" s="146">
        <v>187546387</v>
      </c>
      <c r="AD40" s="428">
        <v>0.7886078912584185</v>
      </c>
      <c r="AE40" s="429">
        <v>0.7933577819683938</v>
      </c>
    </row>
    <row r="41" spans="1:31" ht="12.75">
      <c r="A41" s="139" t="s">
        <v>219</v>
      </c>
      <c r="B41" s="137" t="s">
        <v>164</v>
      </c>
      <c r="C41" s="430">
        <v>21</v>
      </c>
      <c r="D41" s="149">
        <v>6118040</v>
      </c>
      <c r="E41" s="431">
        <v>0.5580022033115555</v>
      </c>
      <c r="F41" s="432">
        <v>0.5414304479385165</v>
      </c>
      <c r="G41" s="425"/>
      <c r="H41" s="430">
        <v>86</v>
      </c>
      <c r="I41" s="149">
        <v>25119171</v>
      </c>
      <c r="J41" s="431">
        <v>0.731009250922071</v>
      </c>
      <c r="K41" s="432">
        <v>0.750109365947741</v>
      </c>
      <c r="M41" s="430">
        <v>73</v>
      </c>
      <c r="N41" s="149">
        <v>22353213</v>
      </c>
      <c r="O41" s="431">
        <v>0.8225235337503916</v>
      </c>
      <c r="P41" s="432">
        <v>0.835763179406493</v>
      </c>
      <c r="R41" s="430">
        <v>39</v>
      </c>
      <c r="S41" s="149">
        <v>12315005</v>
      </c>
      <c r="T41" s="431">
        <v>0.9318524366268692</v>
      </c>
      <c r="U41" s="432">
        <v>1.0212135677794958</v>
      </c>
      <c r="W41" s="430">
        <v>20</v>
      </c>
      <c r="X41" s="149">
        <v>6478970</v>
      </c>
      <c r="Y41" s="431">
        <v>0.7422307001462185</v>
      </c>
      <c r="Z41" s="432">
        <v>0.7971886854938398</v>
      </c>
      <c r="AB41" s="430">
        <v>239</v>
      </c>
      <c r="AC41" s="149">
        <v>72384399</v>
      </c>
      <c r="AD41" s="431">
        <v>0.763995640941351</v>
      </c>
      <c r="AE41" s="432">
        <v>0.7891936017651908</v>
      </c>
    </row>
    <row r="42" spans="2:31" ht="12.75">
      <c r="B42" s="137" t="s">
        <v>165</v>
      </c>
      <c r="C42" s="430">
        <v>14</v>
      </c>
      <c r="D42" s="149">
        <v>8139320</v>
      </c>
      <c r="E42" s="431">
        <v>0.8402297188051232</v>
      </c>
      <c r="F42" s="432">
        <v>0.8315106697534713</v>
      </c>
      <c r="G42" s="425"/>
      <c r="H42" s="430">
        <v>23</v>
      </c>
      <c r="I42" s="149">
        <v>13379624</v>
      </c>
      <c r="J42" s="431">
        <v>0.6080221383504147</v>
      </c>
      <c r="K42" s="432">
        <v>0.6198226026189615</v>
      </c>
      <c r="M42" s="430">
        <v>35</v>
      </c>
      <c r="N42" s="149">
        <v>20375162</v>
      </c>
      <c r="O42" s="431">
        <v>1.0468263365953443</v>
      </c>
      <c r="P42" s="432">
        <v>1.0256698656031409</v>
      </c>
      <c r="R42" s="430">
        <v>10</v>
      </c>
      <c r="S42" s="149">
        <v>6083000</v>
      </c>
      <c r="T42" s="431">
        <v>0.852669751625827</v>
      </c>
      <c r="U42" s="432">
        <v>0.9030545604167883</v>
      </c>
      <c r="W42" s="430">
        <v>8</v>
      </c>
      <c r="X42" s="149">
        <v>5079523</v>
      </c>
      <c r="Y42" s="431">
        <v>1.1918755801081928</v>
      </c>
      <c r="Z42" s="432">
        <v>1.3402433749711973</v>
      </c>
      <c r="AB42" s="430">
        <v>90</v>
      </c>
      <c r="AC42" s="149">
        <v>53056629</v>
      </c>
      <c r="AD42" s="431">
        <v>0.8461505555683523</v>
      </c>
      <c r="AE42" s="432">
        <v>0.8589932483670395</v>
      </c>
    </row>
    <row r="43" spans="2:31" ht="12.75">
      <c r="B43" s="137" t="s">
        <v>45</v>
      </c>
      <c r="C43" s="430">
        <v>4</v>
      </c>
      <c r="D43" s="149">
        <v>4000000</v>
      </c>
      <c r="E43" s="431">
        <v>0.50390970945826</v>
      </c>
      <c r="F43" s="432">
        <v>0.3834818496149989</v>
      </c>
      <c r="G43" s="425"/>
      <c r="H43" s="430">
        <v>16</v>
      </c>
      <c r="I43" s="149">
        <v>17579930</v>
      </c>
      <c r="J43" s="431">
        <v>0.9742831863688046</v>
      </c>
      <c r="K43" s="432">
        <v>0.8807683733893614</v>
      </c>
      <c r="M43" s="430">
        <v>17</v>
      </c>
      <c r="N43" s="149">
        <v>19766370</v>
      </c>
      <c r="O43" s="431">
        <v>0.8270260435365959</v>
      </c>
      <c r="P43" s="432">
        <v>0.7440879714780627</v>
      </c>
      <c r="R43" s="430">
        <v>7</v>
      </c>
      <c r="S43" s="149">
        <v>7500000</v>
      </c>
      <c r="T43" s="431">
        <v>1.3143145755608847</v>
      </c>
      <c r="U43" s="432">
        <v>1.1528595289548516</v>
      </c>
      <c r="W43" s="430">
        <v>7</v>
      </c>
      <c r="X43" s="149">
        <v>9104320</v>
      </c>
      <c r="Y43" s="431">
        <v>2.236757596188563</v>
      </c>
      <c r="Z43" s="432">
        <v>2.340467526850179</v>
      </c>
      <c r="AB43" s="430">
        <v>51</v>
      </c>
      <c r="AC43" s="149">
        <v>57950620</v>
      </c>
      <c r="AD43" s="431">
        <v>0.9555690376145718</v>
      </c>
      <c r="AE43" s="432">
        <v>0.8604322822106304</v>
      </c>
    </row>
    <row r="44" spans="2:31" ht="12.75">
      <c r="B44" s="137" t="s">
        <v>46</v>
      </c>
      <c r="C44" s="430">
        <v>0</v>
      </c>
      <c r="D44" s="149">
        <v>0</v>
      </c>
      <c r="E44" s="431">
        <v>0</v>
      </c>
      <c r="F44" s="432">
        <v>0</v>
      </c>
      <c r="G44" s="425"/>
      <c r="H44" s="430">
        <v>2</v>
      </c>
      <c r="I44" s="149">
        <v>5000000</v>
      </c>
      <c r="J44" s="431">
        <v>0.894482385405625</v>
      </c>
      <c r="K44" s="432">
        <v>0.7205217664919</v>
      </c>
      <c r="M44" s="430">
        <v>4</v>
      </c>
      <c r="N44" s="149">
        <v>13501614</v>
      </c>
      <c r="O44" s="431">
        <v>1.305201882101113</v>
      </c>
      <c r="P44" s="432">
        <v>1.3442000431711054</v>
      </c>
      <c r="R44" s="430">
        <v>0</v>
      </c>
      <c r="S44" s="149">
        <v>0</v>
      </c>
      <c r="T44" s="431">
        <v>0</v>
      </c>
      <c r="U44" s="432">
        <v>0</v>
      </c>
      <c r="W44" s="430">
        <v>0</v>
      </c>
      <c r="X44" s="149">
        <v>0</v>
      </c>
      <c r="Y44" s="431">
        <v>0</v>
      </c>
      <c r="Z44" s="432">
        <v>0</v>
      </c>
      <c r="AB44" s="430">
        <v>6</v>
      </c>
      <c r="AC44" s="149">
        <v>18501614</v>
      </c>
      <c r="AD44" s="431">
        <v>0.8763653041133668</v>
      </c>
      <c r="AE44" s="432">
        <v>0.8492450434362905</v>
      </c>
    </row>
    <row r="45" spans="1:31" ht="12.75">
      <c r="A45" s="421"/>
      <c r="B45" s="138" t="s">
        <v>47</v>
      </c>
      <c r="C45" s="433">
        <v>0</v>
      </c>
      <c r="D45" s="152">
        <v>0</v>
      </c>
      <c r="E45" s="434">
        <v>0</v>
      </c>
      <c r="F45" s="435">
        <v>0</v>
      </c>
      <c r="G45" s="425"/>
      <c r="H45" s="433">
        <v>0</v>
      </c>
      <c r="I45" s="152">
        <v>0</v>
      </c>
      <c r="J45" s="434">
        <v>0</v>
      </c>
      <c r="K45" s="435">
        <v>0</v>
      </c>
      <c r="M45" s="433">
        <v>1</v>
      </c>
      <c r="N45" s="152">
        <v>6775000</v>
      </c>
      <c r="O45" s="434">
        <v>0.5716506985571534</v>
      </c>
      <c r="P45" s="435">
        <v>0.4440041002099945</v>
      </c>
      <c r="R45" s="433">
        <v>0</v>
      </c>
      <c r="S45" s="152">
        <v>0</v>
      </c>
      <c r="T45" s="434">
        <v>0</v>
      </c>
      <c r="U45" s="435">
        <v>0</v>
      </c>
      <c r="W45" s="433">
        <v>0</v>
      </c>
      <c r="X45" s="152">
        <v>0</v>
      </c>
      <c r="Y45" s="434">
        <v>0</v>
      </c>
      <c r="Z45" s="435">
        <v>0</v>
      </c>
      <c r="AB45" s="433">
        <v>1</v>
      </c>
      <c r="AC45" s="152">
        <v>6775000</v>
      </c>
      <c r="AD45" s="434">
        <v>0.29669628684596994</v>
      </c>
      <c r="AE45" s="435">
        <v>0.2561699651094824</v>
      </c>
    </row>
    <row r="46" spans="1:31" ht="12.75">
      <c r="A46" s="421"/>
      <c r="E46" s="426"/>
      <c r="F46" s="426"/>
      <c r="J46" s="426"/>
      <c r="K46" s="426"/>
      <c r="O46" s="426"/>
      <c r="P46" s="426"/>
      <c r="T46" s="426"/>
      <c r="U46" s="426"/>
      <c r="Y46" s="426"/>
      <c r="Z46" s="426"/>
      <c r="AC46" s="128"/>
      <c r="AD46" s="426"/>
      <c r="AE46" s="426"/>
    </row>
    <row r="47" spans="1:31" ht="12.75">
      <c r="A47" s="139" t="s">
        <v>224</v>
      </c>
      <c r="B47" s="133" t="s">
        <v>220</v>
      </c>
      <c r="C47" s="427">
        <v>79</v>
      </c>
      <c r="D47" s="146">
        <v>16132376</v>
      </c>
      <c r="E47" s="428">
        <v>0.6227858583147987</v>
      </c>
      <c r="F47" s="429">
        <v>0.5534728671471578</v>
      </c>
      <c r="G47" s="425"/>
      <c r="H47" s="427">
        <v>362</v>
      </c>
      <c r="I47" s="146">
        <v>72610098</v>
      </c>
      <c r="J47" s="428">
        <v>0.7268837367735461</v>
      </c>
      <c r="K47" s="429">
        <v>0.7047551370882136</v>
      </c>
      <c r="M47" s="427">
        <v>331</v>
      </c>
      <c r="N47" s="146">
        <v>74627340</v>
      </c>
      <c r="O47" s="428">
        <v>0.8085556423687512</v>
      </c>
      <c r="P47" s="429">
        <v>0.8414448550386648</v>
      </c>
      <c r="R47" s="427">
        <v>143</v>
      </c>
      <c r="S47" s="146">
        <v>27485384</v>
      </c>
      <c r="T47" s="428">
        <v>0.8302862408912387</v>
      </c>
      <c r="U47" s="429">
        <v>0.8963174433673693</v>
      </c>
      <c r="W47" s="427">
        <v>87</v>
      </c>
      <c r="X47" s="146">
        <v>20969306</v>
      </c>
      <c r="Y47" s="428">
        <v>0.9984459819492438</v>
      </c>
      <c r="Z47" s="429">
        <v>1.27948908887928</v>
      </c>
      <c r="AB47" s="427">
        <v>1002</v>
      </c>
      <c r="AC47" s="146">
        <v>211824504</v>
      </c>
      <c r="AD47" s="428">
        <v>0.7745808418003745</v>
      </c>
      <c r="AE47" s="429">
        <v>0.7906274338773622</v>
      </c>
    </row>
    <row r="48" spans="1:31" ht="12.75">
      <c r="A48" s="139" t="s">
        <v>225</v>
      </c>
      <c r="B48" s="135" t="s">
        <v>221</v>
      </c>
      <c r="C48" s="433">
        <v>94</v>
      </c>
      <c r="D48" s="152">
        <v>18726321</v>
      </c>
      <c r="E48" s="434">
        <v>0.6941509072256986</v>
      </c>
      <c r="F48" s="435">
        <v>0.587028630059996</v>
      </c>
      <c r="G48" s="425"/>
      <c r="H48" s="433">
        <v>263</v>
      </c>
      <c r="I48" s="152">
        <v>47620215</v>
      </c>
      <c r="J48" s="434">
        <v>0.8227365079659067</v>
      </c>
      <c r="K48" s="435">
        <v>0.7643084789964183</v>
      </c>
      <c r="M48" s="433">
        <v>329</v>
      </c>
      <c r="N48" s="152">
        <v>72569880</v>
      </c>
      <c r="O48" s="434">
        <v>0.7672214991787873</v>
      </c>
      <c r="P48" s="435">
        <v>0.7807952143200613</v>
      </c>
      <c r="R48" s="433">
        <v>160</v>
      </c>
      <c r="S48" s="152">
        <v>27853187</v>
      </c>
      <c r="T48" s="434">
        <v>0.8813389477562105</v>
      </c>
      <c r="U48" s="435">
        <v>0.8461265043095672</v>
      </c>
      <c r="W48" s="433">
        <v>92</v>
      </c>
      <c r="X48" s="152">
        <v>17620542</v>
      </c>
      <c r="Y48" s="434">
        <v>0.9889578555609844</v>
      </c>
      <c r="Z48" s="435">
        <v>1.008132959796122</v>
      </c>
      <c r="AB48" s="433">
        <v>938</v>
      </c>
      <c r="AC48" s="152">
        <v>184390145</v>
      </c>
      <c r="AD48" s="434">
        <v>0.8096876345954577</v>
      </c>
      <c r="AE48" s="435">
        <v>0.7762306532144038</v>
      </c>
    </row>
    <row r="49" spans="5:26" ht="12.75">
      <c r="E49" s="426"/>
      <c r="F49" s="426"/>
      <c r="J49" s="426"/>
      <c r="K49" s="426"/>
      <c r="O49" s="426"/>
      <c r="P49" s="426"/>
      <c r="T49" s="426"/>
      <c r="U49" s="426"/>
      <c r="Y49" s="426"/>
      <c r="Z49" s="426"/>
    </row>
    <row r="50" spans="5:26" ht="12.75">
      <c r="E50" s="426"/>
      <c r="F50" s="426"/>
      <c r="J50" s="426"/>
      <c r="K50" s="426"/>
      <c r="O50" s="426"/>
      <c r="P50" s="426"/>
      <c r="T50" s="426"/>
      <c r="U50" s="426"/>
      <c r="Y50" s="426"/>
      <c r="Z50" s="426"/>
    </row>
    <row r="51" spans="2:26" ht="12.75">
      <c r="B51" s="130" t="s">
        <v>249</v>
      </c>
      <c r="E51" s="426"/>
      <c r="F51" s="426"/>
      <c r="J51" s="426"/>
      <c r="K51" s="426"/>
      <c r="O51" s="426"/>
      <c r="P51" s="426"/>
      <c r="T51" s="426"/>
      <c r="U51" s="426"/>
      <c r="Y51" s="426"/>
      <c r="Z51" s="426"/>
    </row>
    <row r="52" spans="2:26" ht="12.75">
      <c r="B52" s="130" t="s">
        <v>272</v>
      </c>
      <c r="E52" s="426"/>
      <c r="F52" s="426"/>
      <c r="J52" s="426"/>
      <c r="K52" s="426"/>
      <c r="O52" s="426"/>
      <c r="P52" s="426"/>
      <c r="T52" s="426"/>
      <c r="U52" s="426"/>
      <c r="Y52" s="426"/>
      <c r="Z52" s="426"/>
    </row>
    <row r="53" spans="5:26" ht="12.75">
      <c r="E53" s="426"/>
      <c r="F53" s="426"/>
      <c r="J53" s="426"/>
      <c r="K53" s="426"/>
      <c r="O53" s="426"/>
      <c r="P53" s="426"/>
      <c r="T53" s="426"/>
      <c r="U53" s="426"/>
      <c r="Y53" s="426"/>
      <c r="Z53" s="426"/>
    </row>
    <row r="54" spans="5:26" ht="12.75">
      <c r="E54" s="426"/>
      <c r="F54" s="426"/>
      <c r="J54" s="426"/>
      <c r="K54" s="426"/>
      <c r="O54" s="426"/>
      <c r="P54" s="426"/>
      <c r="T54" s="426"/>
      <c r="U54" s="426"/>
      <c r="Y54" s="426"/>
      <c r="Z54" s="426"/>
    </row>
    <row r="55" spans="5:26" ht="12.75">
      <c r="E55" s="426"/>
      <c r="F55" s="426"/>
      <c r="J55" s="426"/>
      <c r="K55" s="426"/>
      <c r="O55" s="426"/>
      <c r="P55" s="426"/>
      <c r="T55" s="426"/>
      <c r="U55" s="426"/>
      <c r="Y55" s="426"/>
      <c r="Z55" s="426"/>
    </row>
  </sheetData>
  <sheetProtection/>
  <mergeCells count="19">
    <mergeCell ref="T10:U10"/>
    <mergeCell ref="W10:X10"/>
    <mergeCell ref="A7:AA7"/>
    <mergeCell ref="C8:F8"/>
    <mergeCell ref="H8:K8"/>
    <mergeCell ref="M8:P8"/>
    <mergeCell ref="R8:U8"/>
    <mergeCell ref="W8:Z8"/>
    <mergeCell ref="Y10:Z10"/>
    <mergeCell ref="AB10:AC10"/>
    <mergeCell ref="AD10:AE10"/>
    <mergeCell ref="AB8:AE8"/>
    <mergeCell ref="C10:D10"/>
    <mergeCell ref="E10:F10"/>
    <mergeCell ref="H10:I10"/>
    <mergeCell ref="J10:K10"/>
    <mergeCell ref="M10:N10"/>
    <mergeCell ref="O10:P10"/>
    <mergeCell ref="R10:S10"/>
  </mergeCells>
  <printOptions/>
  <pageMargins left="0.75" right="0.75" top="1" bottom="1" header="0.5" footer="0.5"/>
  <pageSetup fitToHeight="4" fitToWidth="1" horizontalDpi="600" verticalDpi="600" orientation="landscape" scale="41" r:id="rId1"/>
  <headerFooter alignWithMargins="0">
    <oddFooter>&amp;L&amp;F&amp;R&amp;"Arial,Italic"&amp;A</oddFooter>
  </headerFooter>
</worksheet>
</file>

<file path=xl/worksheets/sheet13.xml><?xml version="1.0" encoding="utf-8"?>
<worksheet xmlns="http://schemas.openxmlformats.org/spreadsheetml/2006/main" xmlns:r="http://schemas.openxmlformats.org/officeDocument/2006/relationships">
  <dimension ref="A1:AB238"/>
  <sheetViews>
    <sheetView zoomScale="85" zoomScaleNormal="85" zoomScaleSheetLayoutView="85" zoomScalePageLayoutView="0" workbookViewId="0" topLeftCell="A1">
      <selection activeCell="L21" sqref="L21"/>
    </sheetView>
  </sheetViews>
  <sheetFormatPr defaultColWidth="9.140625" defaultRowHeight="12.75"/>
  <cols>
    <col min="1" max="1" width="17.28125" style="1" bestFit="1" customWidth="1"/>
    <col min="2" max="2" width="13.28125" style="189" customWidth="1"/>
    <col min="3" max="3" width="13.7109375" style="189" bestFit="1" customWidth="1"/>
    <col min="4" max="4" width="13.57421875" style="189" customWidth="1"/>
    <col min="5" max="5" width="10.8515625" style="189" customWidth="1"/>
    <col min="6" max="7" width="13.57421875" style="223" customWidth="1"/>
    <col min="8" max="8" width="10.8515625" style="189" customWidth="1"/>
    <col min="9" max="9" width="14.421875" style="189" customWidth="1"/>
    <col min="10" max="10" width="11.421875" style="189" customWidth="1"/>
    <col min="11" max="11" width="11.28125" style="223" customWidth="1"/>
    <col min="12" max="12" width="11.57421875" style="189" customWidth="1"/>
    <col min="13" max="13" width="12.00390625" style="195" customWidth="1"/>
    <col min="14" max="15" width="9.140625" style="186" customWidth="1"/>
    <col min="16" max="16" width="10.421875" style="186" bestFit="1" customWidth="1"/>
    <col min="17" max="18" width="9.140625" style="186" customWidth="1"/>
    <col min="19" max="19" width="26.7109375" style="186" bestFit="1" customWidth="1"/>
    <col min="20" max="20" width="44.28125" style="186" bestFit="1" customWidth="1"/>
    <col min="21" max="16384" width="9.140625" style="186" customWidth="1"/>
  </cols>
  <sheetData>
    <row r="1" spans="2:13" ht="21.75" customHeight="1">
      <c r="B1" s="683" t="s">
        <v>85</v>
      </c>
      <c r="C1" s="683"/>
      <c r="D1" s="683"/>
      <c r="E1" s="683"/>
      <c r="F1" s="683"/>
      <c r="G1" s="683"/>
      <c r="H1" s="683"/>
      <c r="I1" s="683"/>
      <c r="J1" s="683"/>
      <c r="K1" s="683"/>
      <c r="L1" s="683"/>
      <c r="M1" s="683"/>
    </row>
    <row r="2" spans="2:13" ht="18">
      <c r="B2" s="684" t="s">
        <v>80</v>
      </c>
      <c r="C2" s="684"/>
      <c r="D2" s="684"/>
      <c r="E2" s="684"/>
      <c r="F2" s="684"/>
      <c r="G2" s="684"/>
      <c r="H2" s="684"/>
      <c r="I2" s="684"/>
      <c r="J2" s="684"/>
      <c r="K2" s="684"/>
      <c r="L2" s="684"/>
      <c r="M2" s="684"/>
    </row>
    <row r="3" spans="2:13" ht="15.75">
      <c r="B3" s="685" t="s">
        <v>1</v>
      </c>
      <c r="C3" s="685"/>
      <c r="D3" s="685"/>
      <c r="E3" s="685"/>
      <c r="F3" s="685"/>
      <c r="G3" s="685"/>
      <c r="H3" s="685"/>
      <c r="I3" s="685"/>
      <c r="J3" s="685"/>
      <c r="K3" s="685"/>
      <c r="L3" s="685"/>
      <c r="M3" s="685"/>
    </row>
    <row r="4" spans="2:13" ht="14.25" customHeight="1">
      <c r="B4" s="682" t="s">
        <v>133</v>
      </c>
      <c r="C4" s="682"/>
      <c r="D4" s="682"/>
      <c r="E4" s="682"/>
      <c r="F4" s="682"/>
      <c r="G4" s="682"/>
      <c r="H4" s="682"/>
      <c r="I4" s="682"/>
      <c r="J4" s="682"/>
      <c r="K4" s="682"/>
      <c r="L4" s="682"/>
      <c r="M4" s="682"/>
    </row>
    <row r="5" spans="2:13" ht="15">
      <c r="B5" s="686" t="s">
        <v>101</v>
      </c>
      <c r="C5" s="686"/>
      <c r="D5" s="686"/>
      <c r="E5" s="686"/>
      <c r="F5" s="686"/>
      <c r="G5" s="686"/>
      <c r="H5" s="686"/>
      <c r="I5" s="686"/>
      <c r="J5" s="686"/>
      <c r="K5" s="686"/>
      <c r="L5" s="686"/>
      <c r="M5" s="686"/>
    </row>
    <row r="6" spans="1:28" ht="12.75">
      <c r="A6" s="455"/>
      <c r="B6" s="681" t="s">
        <v>184</v>
      </c>
      <c r="C6" s="681"/>
      <c r="D6" s="681"/>
      <c r="E6" s="681"/>
      <c r="F6" s="681"/>
      <c r="G6" s="681"/>
      <c r="H6" s="681"/>
      <c r="I6" s="681"/>
      <c r="J6" s="681"/>
      <c r="K6" s="681"/>
      <c r="L6" s="681"/>
      <c r="M6" s="681"/>
      <c r="N6" s="455"/>
      <c r="O6" s="455"/>
      <c r="P6" s="455"/>
      <c r="Q6" s="455"/>
      <c r="R6" s="455"/>
      <c r="S6" s="455"/>
      <c r="T6" s="455"/>
      <c r="U6" s="455"/>
      <c r="V6" s="455"/>
      <c r="W6" s="455"/>
      <c r="X6" s="455"/>
      <c r="Y6" s="455"/>
      <c r="Z6" s="455"/>
      <c r="AA6" s="455"/>
      <c r="AB6" s="455"/>
    </row>
    <row r="7" ht="7.5" customHeight="1">
      <c r="B7" s="4"/>
    </row>
    <row r="8" spans="3:13" ht="39" customHeight="1">
      <c r="C8" s="47" t="s">
        <v>2</v>
      </c>
      <c r="D8" s="47" t="s">
        <v>3</v>
      </c>
      <c r="E8" s="224" t="s">
        <v>257</v>
      </c>
      <c r="F8" s="225" t="s">
        <v>4</v>
      </c>
      <c r="G8" s="225" t="s">
        <v>5</v>
      </c>
      <c r="H8" s="224" t="s">
        <v>70</v>
      </c>
      <c r="I8" s="47" t="s">
        <v>273</v>
      </c>
      <c r="J8" s="47" t="s">
        <v>7</v>
      </c>
      <c r="K8" s="225" t="s">
        <v>51</v>
      </c>
      <c r="L8" s="226" t="s">
        <v>8</v>
      </c>
      <c r="M8" s="2" t="s">
        <v>9</v>
      </c>
    </row>
    <row r="9" spans="1:13" ht="12.75">
      <c r="A9" s="1" t="s">
        <v>10</v>
      </c>
      <c r="B9" s="227"/>
      <c r="C9" s="31">
        <v>510121</v>
      </c>
      <c r="D9" s="31">
        <v>576811.5256100027</v>
      </c>
      <c r="E9" s="33">
        <v>0.8843807333089008</v>
      </c>
      <c r="F9" s="32">
        <v>2976.737366</v>
      </c>
      <c r="G9" s="32">
        <v>3671.1874982243057</v>
      </c>
      <c r="H9" s="33">
        <v>0.8108377377728051</v>
      </c>
      <c r="I9" s="31">
        <v>21338454.34567004</v>
      </c>
      <c r="J9" s="33">
        <v>1</v>
      </c>
      <c r="K9" s="32">
        <v>166809.1343390324</v>
      </c>
      <c r="L9" s="34">
        <v>1</v>
      </c>
      <c r="M9" s="228">
        <v>1</v>
      </c>
    </row>
    <row r="10" spans="3:13" ht="12.75">
      <c r="C10" s="47"/>
      <c r="D10" s="47"/>
      <c r="E10" s="229"/>
      <c r="F10" s="230"/>
      <c r="G10" s="230"/>
      <c r="H10" s="229"/>
      <c r="I10" s="231"/>
      <c r="J10" s="229"/>
      <c r="K10" s="230"/>
      <c r="L10" s="229"/>
      <c r="M10" s="193"/>
    </row>
    <row r="11" spans="1:16" ht="12.75">
      <c r="A11" s="1" t="s">
        <v>25</v>
      </c>
      <c r="B11" s="197" t="s">
        <v>27</v>
      </c>
      <c r="C11" s="198">
        <v>325217</v>
      </c>
      <c r="D11" s="198">
        <v>382259.0277800078</v>
      </c>
      <c r="E11" s="199">
        <v>0.8507765058910897</v>
      </c>
      <c r="F11" s="249">
        <v>2445.16921</v>
      </c>
      <c r="G11" s="249">
        <v>3072.3699137750814</v>
      </c>
      <c r="H11" s="199">
        <v>0.7958576859632024</v>
      </c>
      <c r="I11" s="198">
        <v>12617622.622760003</v>
      </c>
      <c r="J11" s="199">
        <v>0.5913091181939496</v>
      </c>
      <c r="K11" s="249">
        <v>124277.08034710283</v>
      </c>
      <c r="L11" s="213">
        <v>0.7450256296787381</v>
      </c>
      <c r="M11" s="255">
        <v>0.8368872238917618</v>
      </c>
      <c r="O11" s="237"/>
      <c r="P11" s="237"/>
    </row>
    <row r="12" spans="2:16" ht="12.75">
      <c r="B12" s="208" t="s">
        <v>26</v>
      </c>
      <c r="C12" s="387">
        <v>184904</v>
      </c>
      <c r="D12" s="387">
        <v>194552.49782999876</v>
      </c>
      <c r="E12" s="388">
        <v>0.9504067131616595</v>
      </c>
      <c r="F12" s="389">
        <v>531.5681559999999</v>
      </c>
      <c r="G12" s="389">
        <v>598.8175844492284</v>
      </c>
      <c r="H12" s="388">
        <v>0.8876963031887546</v>
      </c>
      <c r="I12" s="387">
        <v>8720831.722910011</v>
      </c>
      <c r="J12" s="388">
        <v>0.4086908818060492</v>
      </c>
      <c r="K12" s="389">
        <v>42532.053991930305</v>
      </c>
      <c r="L12" s="451">
        <v>0.2549743703212663</v>
      </c>
      <c r="M12" s="452">
        <v>0.16311277610823932</v>
      </c>
      <c r="O12" s="237"/>
      <c r="P12" s="237"/>
    </row>
    <row r="13" spans="2:13" ht="12.75">
      <c r="B13" s="239"/>
      <c r="C13" s="203"/>
      <c r="D13" s="203"/>
      <c r="E13" s="204"/>
      <c r="F13" s="240"/>
      <c r="G13" s="240"/>
      <c r="H13" s="204"/>
      <c r="I13" s="241"/>
      <c r="J13" s="241"/>
      <c r="K13" s="240"/>
      <c r="L13" s="242"/>
      <c r="M13" s="243"/>
    </row>
    <row r="14" spans="2:12" ht="12.75">
      <c r="B14" s="244" t="s">
        <v>52</v>
      </c>
      <c r="C14" s="245"/>
      <c r="D14" s="245"/>
      <c r="E14" s="246"/>
      <c r="F14" s="247"/>
      <c r="G14" s="247"/>
      <c r="H14" s="246"/>
      <c r="I14" s="245"/>
      <c r="J14" s="245"/>
      <c r="K14" s="247"/>
      <c r="L14" s="245"/>
    </row>
    <row r="15" spans="1:16" ht="12.75">
      <c r="A15" s="1" t="s">
        <v>53</v>
      </c>
      <c r="B15" s="248" t="s">
        <v>17</v>
      </c>
      <c r="C15" s="198">
        <v>251</v>
      </c>
      <c r="D15" s="198">
        <v>257.16921999999994</v>
      </c>
      <c r="E15" s="233">
        <v>0.9760110482895272</v>
      </c>
      <c r="F15" s="249">
        <v>2.659649</v>
      </c>
      <c r="G15" s="249">
        <v>2.7428488663599966</v>
      </c>
      <c r="H15" s="233">
        <v>0.9696666238594436</v>
      </c>
      <c r="I15" s="198">
        <v>257047.43801000004</v>
      </c>
      <c r="J15" s="199">
        <v>0.020372097477882326</v>
      </c>
      <c r="K15" s="249">
        <v>2743.829029165849</v>
      </c>
      <c r="L15" s="235">
        <v>0.022078319039217868</v>
      </c>
      <c r="M15" s="236">
        <v>0.0007471285156878172</v>
      </c>
      <c r="O15" s="237"/>
      <c r="P15" s="237"/>
    </row>
    <row r="16" spans="2:24" ht="12.75">
      <c r="B16" s="250" t="s">
        <v>18</v>
      </c>
      <c r="C16" s="251">
        <v>373</v>
      </c>
      <c r="D16" s="251">
        <v>303.18530999999956</v>
      </c>
      <c r="E16" s="206">
        <v>1.2302706882467378</v>
      </c>
      <c r="F16" s="240">
        <v>2.705358</v>
      </c>
      <c r="G16" s="240">
        <v>2.4372025570399973</v>
      </c>
      <c r="H16" s="206">
        <v>1.1100259156488328</v>
      </c>
      <c r="I16" s="251">
        <v>316496.44102</v>
      </c>
      <c r="J16" s="206">
        <v>0.025083682598740536</v>
      </c>
      <c r="K16" s="240">
        <v>2545.764068266079</v>
      </c>
      <c r="L16" s="204">
        <v>0.020484582202573657</v>
      </c>
      <c r="M16" s="207">
        <v>0.00079326468668786</v>
      </c>
      <c r="O16" s="237"/>
      <c r="P16" s="667"/>
      <c r="Q16" s="667"/>
      <c r="R16" s="667"/>
      <c r="S16" s="667"/>
      <c r="T16" s="667"/>
      <c r="U16" s="668"/>
      <c r="V16" s="667"/>
      <c r="W16" s="667"/>
      <c r="X16" s="667"/>
    </row>
    <row r="17" spans="2:24" ht="12.75">
      <c r="B17" s="250" t="s">
        <v>19</v>
      </c>
      <c r="C17" s="251">
        <v>638</v>
      </c>
      <c r="D17" s="251">
        <v>449.22065999999984</v>
      </c>
      <c r="E17" s="206">
        <v>1.4202374396582744</v>
      </c>
      <c r="F17" s="240">
        <v>4.161538</v>
      </c>
      <c r="G17" s="240">
        <v>3.0377698119399996</v>
      </c>
      <c r="H17" s="206">
        <v>1.3699319756365387</v>
      </c>
      <c r="I17" s="251">
        <v>396174.03841999953</v>
      </c>
      <c r="J17" s="206">
        <v>0.031398469447435386</v>
      </c>
      <c r="K17" s="240">
        <v>2703.31617377189</v>
      </c>
      <c r="L17" s="204">
        <v>0.02175233089014961</v>
      </c>
      <c r="M17" s="207">
        <v>0.0009887383020905293</v>
      </c>
      <c r="O17" s="237"/>
      <c r="P17" s="667"/>
      <c r="Q17" s="667"/>
      <c r="R17" s="667"/>
      <c r="S17" s="667"/>
      <c r="T17" s="667"/>
      <c r="U17" s="668"/>
      <c r="V17" s="667"/>
      <c r="W17" s="667"/>
      <c r="X17" s="667"/>
    </row>
    <row r="18" spans="2:24" ht="12.75">
      <c r="B18" s="250" t="s">
        <v>20</v>
      </c>
      <c r="C18" s="251">
        <v>3963</v>
      </c>
      <c r="D18" s="251">
        <v>3081.046600000011</v>
      </c>
      <c r="E18" s="206">
        <v>1.2862512368362056</v>
      </c>
      <c r="F18" s="240">
        <v>29.610954999999997</v>
      </c>
      <c r="G18" s="240">
        <v>26.421605272030007</v>
      </c>
      <c r="H18" s="204">
        <v>1.1207099150537323</v>
      </c>
      <c r="I18" s="251">
        <v>1324212.2508900017</v>
      </c>
      <c r="J18" s="206">
        <v>0.10494942593237433</v>
      </c>
      <c r="K18" s="240">
        <v>10760.23477527212</v>
      </c>
      <c r="L18" s="204">
        <v>0.08658261640214791</v>
      </c>
      <c r="M18" s="207">
        <v>0.008599747430661844</v>
      </c>
      <c r="O18" s="237"/>
      <c r="P18" s="667"/>
      <c r="Q18" s="667"/>
      <c r="R18" s="667"/>
      <c r="S18" s="667"/>
      <c r="T18" s="667"/>
      <c r="U18" s="668"/>
      <c r="V18" s="667"/>
      <c r="W18" s="667"/>
      <c r="X18" s="667"/>
    </row>
    <row r="19" spans="2:24" ht="12.75">
      <c r="B19" s="250" t="s">
        <v>21</v>
      </c>
      <c r="C19" s="251">
        <v>14348</v>
      </c>
      <c r="D19" s="251">
        <v>15853.357530000005</v>
      </c>
      <c r="E19" s="206">
        <v>0.9050448760048873</v>
      </c>
      <c r="F19" s="240">
        <v>143.821755</v>
      </c>
      <c r="G19" s="240">
        <v>195.20721510024993</v>
      </c>
      <c r="H19" s="204">
        <v>0.736764544928011</v>
      </c>
      <c r="I19" s="251">
        <v>2774326.008989998</v>
      </c>
      <c r="J19" s="206">
        <v>0.2198770792197886</v>
      </c>
      <c r="K19" s="240">
        <v>33418.50240725539</v>
      </c>
      <c r="L19" s="204">
        <v>0.2689031824204297</v>
      </c>
      <c r="M19" s="207">
        <v>0.06353636462361884</v>
      </c>
      <c r="O19" s="237"/>
      <c r="P19" s="667"/>
      <c r="Q19" s="667"/>
      <c r="R19" s="667"/>
      <c r="S19" s="667"/>
      <c r="T19" s="667"/>
      <c r="U19" s="668"/>
      <c r="V19" s="667"/>
      <c r="W19" s="667"/>
      <c r="X19" s="667"/>
    </row>
    <row r="20" spans="2:24" ht="12.75">
      <c r="B20" s="250" t="s">
        <v>22</v>
      </c>
      <c r="C20" s="251">
        <v>34074</v>
      </c>
      <c r="D20" s="251">
        <v>44115.17189999989</v>
      </c>
      <c r="E20" s="206">
        <v>0.7723873337100174</v>
      </c>
      <c r="F20" s="240">
        <v>336.15469099999996</v>
      </c>
      <c r="G20" s="240">
        <v>501.76590747093917</v>
      </c>
      <c r="H20" s="204">
        <v>0.669943266361653</v>
      </c>
      <c r="I20" s="251">
        <v>2989576.8033000007</v>
      </c>
      <c r="J20" s="206">
        <v>0.23693661577002015</v>
      </c>
      <c r="K20" s="240">
        <v>34415.0335743611</v>
      </c>
      <c r="L20" s="204">
        <v>0.2769218063237465</v>
      </c>
      <c r="M20" s="207">
        <v>0.16331559075007654</v>
      </c>
      <c r="O20" s="237"/>
      <c r="P20" s="667"/>
      <c r="Q20" s="667"/>
      <c r="R20" s="667"/>
      <c r="S20" s="667"/>
      <c r="T20" s="667"/>
      <c r="U20" s="668"/>
      <c r="V20" s="667"/>
      <c r="W20" s="667"/>
      <c r="X20" s="667"/>
    </row>
    <row r="21" spans="2:24" ht="12.75">
      <c r="B21" s="250" t="s">
        <v>23</v>
      </c>
      <c r="C21" s="251">
        <v>84751</v>
      </c>
      <c r="D21" s="251">
        <v>100551.58083999984</v>
      </c>
      <c r="E21" s="206">
        <v>0.8428609405441162</v>
      </c>
      <c r="F21" s="240">
        <v>719.062046</v>
      </c>
      <c r="G21" s="240">
        <v>914.3727912821083</v>
      </c>
      <c r="H21" s="204">
        <v>0.7863992157856655</v>
      </c>
      <c r="I21" s="251">
        <v>2623578.4233300015</v>
      </c>
      <c r="J21" s="206">
        <v>0.20792969498053626</v>
      </c>
      <c r="K21" s="240">
        <v>24291.709290891085</v>
      </c>
      <c r="L21" s="204">
        <v>0.19546411311759931</v>
      </c>
      <c r="M21" s="207">
        <v>0.29761155620698043</v>
      </c>
      <c r="O21" s="237"/>
      <c r="P21" s="667"/>
      <c r="Q21" s="667"/>
      <c r="R21" s="667"/>
      <c r="S21" s="667"/>
      <c r="T21" s="667"/>
      <c r="U21" s="668"/>
      <c r="V21" s="667"/>
      <c r="W21" s="667"/>
      <c r="X21" s="667"/>
    </row>
    <row r="22" spans="2:24" ht="12.75">
      <c r="B22" s="250" t="s">
        <v>54</v>
      </c>
      <c r="C22" s="203">
        <v>138741</v>
      </c>
      <c r="D22" s="203">
        <v>162123.41776999956</v>
      </c>
      <c r="E22" s="206">
        <v>0.8557739647262333</v>
      </c>
      <c r="F22" s="240">
        <v>949.014813</v>
      </c>
      <c r="G22" s="240">
        <v>1145.2664613109005</v>
      </c>
      <c r="H22" s="204">
        <v>0.8286410587050057</v>
      </c>
      <c r="I22" s="203">
        <v>1664728.71682</v>
      </c>
      <c r="J22" s="206">
        <v>0.13193679717581014</v>
      </c>
      <c r="K22" s="240">
        <v>12010.717845506495</v>
      </c>
      <c r="L22" s="206">
        <v>0.09664467343423948</v>
      </c>
      <c r="M22" s="207">
        <v>0.3727632067271773</v>
      </c>
      <c r="O22" s="237"/>
      <c r="P22" s="667"/>
      <c r="Q22" s="667"/>
      <c r="R22" s="667"/>
      <c r="S22" s="667"/>
      <c r="T22" s="667"/>
      <c r="U22" s="668"/>
      <c r="V22" s="667"/>
      <c r="W22" s="667"/>
      <c r="X22" s="667"/>
    </row>
    <row r="23" spans="2:24" ht="12.75">
      <c r="B23" s="252" t="s">
        <v>55</v>
      </c>
      <c r="C23" s="209">
        <v>48078</v>
      </c>
      <c r="D23" s="209">
        <v>55524.87795000001</v>
      </c>
      <c r="E23" s="206">
        <v>0.8658821374320552</v>
      </c>
      <c r="F23" s="238">
        <v>257.97840499999995</v>
      </c>
      <c r="G23" s="238">
        <v>281.1181121035201</v>
      </c>
      <c r="H23" s="214">
        <v>0.9176868863753642</v>
      </c>
      <c r="I23" s="209">
        <v>271482.50197999994</v>
      </c>
      <c r="J23" s="210">
        <v>0.02151613739741214</v>
      </c>
      <c r="K23" s="238">
        <v>1387.9731826130887</v>
      </c>
      <c r="L23" s="210">
        <v>0.011168376169898051</v>
      </c>
      <c r="M23" s="212">
        <v>0.09149878432382667</v>
      </c>
      <c r="O23" s="237"/>
      <c r="P23" s="667"/>
      <c r="Q23" s="667"/>
      <c r="R23" s="667"/>
      <c r="S23" s="667"/>
      <c r="T23" s="667"/>
      <c r="U23" s="668"/>
      <c r="V23" s="667"/>
      <c r="W23" s="667"/>
      <c r="X23" s="667"/>
    </row>
    <row r="24" spans="2:24" ht="12.75">
      <c r="B24" s="253"/>
      <c r="C24" s="198"/>
      <c r="D24" s="198"/>
      <c r="E24" s="199"/>
      <c r="F24" s="249"/>
      <c r="G24" s="249"/>
      <c r="H24" s="199"/>
      <c r="I24" s="198"/>
      <c r="J24" s="254"/>
      <c r="K24" s="249"/>
      <c r="L24" s="254"/>
      <c r="M24" s="243"/>
      <c r="P24" s="667"/>
      <c r="Q24" s="667"/>
      <c r="R24" s="667"/>
      <c r="S24" s="667"/>
      <c r="T24" s="667"/>
      <c r="U24" s="668"/>
      <c r="V24" s="667"/>
      <c r="W24" s="667"/>
      <c r="X24" s="667"/>
    </row>
    <row r="25" spans="1:24" ht="12.75">
      <c r="A25" s="1" t="s">
        <v>37</v>
      </c>
      <c r="B25" s="248" t="s">
        <v>38</v>
      </c>
      <c r="C25" s="198">
        <v>242006</v>
      </c>
      <c r="D25" s="198">
        <v>278034.759780001</v>
      </c>
      <c r="E25" s="199">
        <v>0.8704163471915911</v>
      </c>
      <c r="F25" s="249">
        <v>771.5713159999999</v>
      </c>
      <c r="G25" s="249">
        <v>870.5567322047226</v>
      </c>
      <c r="H25" s="199">
        <v>0.8862964209649636</v>
      </c>
      <c r="I25" s="198">
        <v>7874381.99793999</v>
      </c>
      <c r="J25" s="199">
        <v>0.6240781035673052</v>
      </c>
      <c r="K25" s="249">
        <v>27445.688813740275</v>
      </c>
      <c r="L25" s="213">
        <v>0.22084272286639772</v>
      </c>
      <c r="M25" s="255">
        <v>0.2833502334147819</v>
      </c>
      <c r="O25" s="237"/>
      <c r="P25" s="667"/>
      <c r="Q25" s="667"/>
      <c r="R25" s="667"/>
      <c r="S25" s="667"/>
      <c r="T25" s="667"/>
      <c r="U25" s="668"/>
      <c r="V25" s="667"/>
      <c r="W25" s="667"/>
      <c r="X25" s="667"/>
    </row>
    <row r="26" spans="2:16" ht="12.75">
      <c r="B26" s="250" t="s">
        <v>39</v>
      </c>
      <c r="C26" s="203">
        <v>65933</v>
      </c>
      <c r="D26" s="203">
        <v>81203.84709999965</v>
      </c>
      <c r="E26" s="204">
        <v>0.8119442902601136</v>
      </c>
      <c r="F26" s="240">
        <v>784.824256</v>
      </c>
      <c r="G26" s="240">
        <v>969.8964593341536</v>
      </c>
      <c r="H26" s="204">
        <v>0.809183545776414</v>
      </c>
      <c r="I26" s="203">
        <v>3694636.9359100065</v>
      </c>
      <c r="J26" s="204">
        <v>0.29281561561728137</v>
      </c>
      <c r="K26" s="240">
        <v>44930.94088113238</v>
      </c>
      <c r="L26" s="206">
        <v>0.3615384329567557</v>
      </c>
      <c r="M26" s="207">
        <v>0.31568349077550456</v>
      </c>
      <c r="O26" s="237"/>
      <c r="P26" s="237"/>
    </row>
    <row r="27" spans="2:23" ht="12.75">
      <c r="B27" s="250" t="s">
        <v>40</v>
      </c>
      <c r="C27" s="203">
        <v>10602</v>
      </c>
      <c r="D27" s="203">
        <v>13876.013419999956</v>
      </c>
      <c r="E27" s="204">
        <v>0.7640523022786204</v>
      </c>
      <c r="F27" s="240">
        <v>302.417849</v>
      </c>
      <c r="G27" s="240">
        <v>395.63549958227986</v>
      </c>
      <c r="H27" s="204">
        <v>0.7643850193405268</v>
      </c>
      <c r="I27" s="203">
        <v>681078.0013700027</v>
      </c>
      <c r="J27" s="204">
        <v>0.05397831443630721</v>
      </c>
      <c r="K27" s="240">
        <v>19336.41404336817</v>
      </c>
      <c r="L27" s="206">
        <v>0.155591151557166</v>
      </c>
      <c r="M27" s="207">
        <v>0.1287720914751944</v>
      </c>
      <c r="O27" s="237"/>
      <c r="P27" s="237"/>
      <c r="Q27" s="237"/>
      <c r="R27" s="237"/>
      <c r="S27" s="667"/>
      <c r="T27" s="667"/>
      <c r="U27" s="667"/>
      <c r="V27" s="667"/>
      <c r="W27" s="667"/>
    </row>
    <row r="28" spans="2:23" ht="12.75">
      <c r="B28" s="250" t="s">
        <v>41</v>
      </c>
      <c r="C28" s="203">
        <v>4433</v>
      </c>
      <c r="D28" s="203">
        <v>6027.890949999976</v>
      </c>
      <c r="E28" s="204">
        <v>0.7354147639316563</v>
      </c>
      <c r="F28" s="240">
        <v>246.759698</v>
      </c>
      <c r="G28" s="240">
        <v>335.8664565115003</v>
      </c>
      <c r="H28" s="204">
        <v>0.7346958685990447</v>
      </c>
      <c r="I28" s="203">
        <v>242082.44959999964</v>
      </c>
      <c r="J28" s="204">
        <v>0.019186058803448827</v>
      </c>
      <c r="K28" s="240">
        <v>13547.695335146713</v>
      </c>
      <c r="L28" s="206">
        <v>0.10901201812360198</v>
      </c>
      <c r="M28" s="207">
        <v>0.10931836528070103</v>
      </c>
      <c r="O28" s="237"/>
      <c r="P28" s="237"/>
      <c r="Q28" s="237"/>
      <c r="R28" s="237"/>
      <c r="S28" s="667"/>
      <c r="T28" s="667"/>
      <c r="U28" s="667"/>
      <c r="V28" s="667"/>
      <c r="W28" s="667"/>
    </row>
    <row r="29" spans="2:23" ht="12.75">
      <c r="B29" s="252" t="s">
        <v>56</v>
      </c>
      <c r="C29" s="209">
        <v>2243</v>
      </c>
      <c r="D29" s="209">
        <v>3116.516530000006</v>
      </c>
      <c r="E29" s="214">
        <v>0.7197138145774558</v>
      </c>
      <c r="F29" s="238">
        <v>339.59609099999994</v>
      </c>
      <c r="G29" s="238">
        <v>500.41476614244016</v>
      </c>
      <c r="H29" s="214">
        <v>0.6786292371383299</v>
      </c>
      <c r="I29" s="256">
        <v>125443.23794000004</v>
      </c>
      <c r="J29" s="210">
        <v>0.009941907575657096</v>
      </c>
      <c r="K29" s="238">
        <v>19016.34127371563</v>
      </c>
      <c r="L29" s="210">
        <v>0.1530156744960813</v>
      </c>
      <c r="M29" s="212">
        <v>0.16287581905382306</v>
      </c>
      <c r="O29" s="237"/>
      <c r="P29" s="237"/>
      <c r="Q29" s="237"/>
      <c r="R29" s="237"/>
      <c r="S29" s="667"/>
      <c r="T29" s="667"/>
      <c r="U29" s="667"/>
      <c r="V29" s="667"/>
      <c r="W29" s="667"/>
    </row>
    <row r="30" spans="2:23" ht="12.75">
      <c r="B30" s="257"/>
      <c r="C30" s="203"/>
      <c r="D30" s="203"/>
      <c r="E30" s="204"/>
      <c r="F30" s="240"/>
      <c r="G30" s="240"/>
      <c r="H30" s="204"/>
      <c r="I30" s="203"/>
      <c r="J30" s="242"/>
      <c r="K30" s="240"/>
      <c r="L30" s="206"/>
      <c r="M30" s="258"/>
      <c r="P30" s="237"/>
      <c r="Q30" s="237"/>
      <c r="R30" s="237"/>
      <c r="S30" s="667"/>
      <c r="T30" s="667"/>
      <c r="U30" s="667"/>
      <c r="V30" s="667"/>
      <c r="W30" s="667"/>
    </row>
    <row r="31" spans="2:23" ht="12.75">
      <c r="B31" s="244" t="s">
        <v>57</v>
      </c>
      <c r="C31" s="259"/>
      <c r="D31" s="259"/>
      <c r="E31" s="260"/>
      <c r="F31" s="261"/>
      <c r="G31" s="261"/>
      <c r="H31" s="260"/>
      <c r="I31" s="259"/>
      <c r="J31" s="259"/>
      <c r="K31" s="261"/>
      <c r="L31" s="260"/>
      <c r="M31" s="193"/>
      <c r="P31" s="237"/>
      <c r="Q31" s="237"/>
      <c r="R31" s="237"/>
      <c r="S31" s="667"/>
      <c r="T31" s="667"/>
      <c r="U31" s="667"/>
      <c r="V31" s="667"/>
      <c r="W31" s="667"/>
    </row>
    <row r="32" spans="1:23" ht="12.75">
      <c r="A32" s="1" t="s">
        <v>53</v>
      </c>
      <c r="B32" s="248" t="s">
        <v>17</v>
      </c>
      <c r="C32" s="198">
        <v>116</v>
      </c>
      <c r="D32" s="198">
        <v>108.50400999999992</v>
      </c>
      <c r="E32" s="233">
        <v>1.0690849121613117</v>
      </c>
      <c r="F32" s="249">
        <v>1.109557</v>
      </c>
      <c r="G32" s="249">
        <v>1.0297397970200002</v>
      </c>
      <c r="H32" s="233">
        <v>1.0775120114916268</v>
      </c>
      <c r="I32" s="198">
        <v>227368.52031999995</v>
      </c>
      <c r="J32" s="199">
        <v>0.026071884832119026</v>
      </c>
      <c r="K32" s="249">
        <v>2178.509226850431</v>
      </c>
      <c r="L32" s="235">
        <v>0.051220409605982446</v>
      </c>
      <c r="M32" s="236">
        <v>0.001719621841043828</v>
      </c>
      <c r="O32" s="237"/>
      <c r="P32" s="237"/>
      <c r="Q32" s="237"/>
      <c r="R32" s="237"/>
      <c r="S32" s="667"/>
      <c r="T32" s="667"/>
      <c r="U32" s="667"/>
      <c r="V32" s="667"/>
      <c r="W32" s="667"/>
    </row>
    <row r="33" spans="2:23" ht="12.75">
      <c r="B33" s="250" t="s">
        <v>18</v>
      </c>
      <c r="C33" s="251">
        <v>141</v>
      </c>
      <c r="D33" s="251">
        <v>170.8322099999999</v>
      </c>
      <c r="E33" s="206">
        <v>0.8253712809779847</v>
      </c>
      <c r="F33" s="240">
        <v>0.798886</v>
      </c>
      <c r="G33" s="240">
        <v>1.1665751547099996</v>
      </c>
      <c r="H33" s="206">
        <v>0.6848131445064044</v>
      </c>
      <c r="I33" s="251">
        <v>274092.9477000001</v>
      </c>
      <c r="J33" s="206">
        <v>0.031429679692126816</v>
      </c>
      <c r="K33" s="240">
        <v>1892.4784374145609</v>
      </c>
      <c r="L33" s="204">
        <v>0.0444953455051483</v>
      </c>
      <c r="M33" s="207">
        <v>0.0019481310920135635</v>
      </c>
      <c r="O33" s="237"/>
      <c r="P33" s="237"/>
      <c r="Q33" s="237"/>
      <c r="R33" s="237"/>
      <c r="S33" s="667"/>
      <c r="T33" s="667"/>
      <c r="U33" s="667"/>
      <c r="V33" s="667"/>
      <c r="W33" s="667"/>
    </row>
    <row r="34" spans="2:23" ht="12.75">
      <c r="B34" s="250" t="s">
        <v>19</v>
      </c>
      <c r="C34" s="251">
        <v>352</v>
      </c>
      <c r="D34" s="251">
        <v>298.1714700000009</v>
      </c>
      <c r="E34" s="206">
        <v>1.1805287742653545</v>
      </c>
      <c r="F34" s="240">
        <v>1.742106</v>
      </c>
      <c r="G34" s="240">
        <v>1.6045650585400006</v>
      </c>
      <c r="H34" s="206">
        <v>1.0857185196249681</v>
      </c>
      <c r="I34" s="251">
        <v>336453.12874</v>
      </c>
      <c r="J34" s="206">
        <v>0.038580394557565276</v>
      </c>
      <c r="K34" s="240">
        <v>1829.5223233299992</v>
      </c>
      <c r="L34" s="204">
        <v>0.043015141560694865</v>
      </c>
      <c r="M34" s="207">
        <v>0.002679555678071518</v>
      </c>
      <c r="O34" s="237"/>
      <c r="P34" s="237"/>
      <c r="Q34" s="237"/>
      <c r="R34" s="237"/>
      <c r="S34" s="667"/>
      <c r="T34" s="667"/>
      <c r="U34" s="667"/>
      <c r="V34" s="667"/>
      <c r="W34" s="667"/>
    </row>
    <row r="35" spans="2:23" ht="12.75">
      <c r="B35" s="250" t="s">
        <v>20</v>
      </c>
      <c r="C35" s="251">
        <v>1829</v>
      </c>
      <c r="D35" s="251">
        <v>1784.1453600000013</v>
      </c>
      <c r="E35" s="206">
        <v>1.0251406869673436</v>
      </c>
      <c r="F35" s="240">
        <v>9.430867</v>
      </c>
      <c r="G35" s="240">
        <v>10.436727240019982</v>
      </c>
      <c r="H35" s="204">
        <v>0.9036230211935617</v>
      </c>
      <c r="I35" s="251">
        <v>1072722.4959099994</v>
      </c>
      <c r="J35" s="206">
        <v>0.12300690232239087</v>
      </c>
      <c r="K35" s="240">
        <v>5984.346855433067</v>
      </c>
      <c r="L35" s="204">
        <v>0.1407020421954813</v>
      </c>
      <c r="M35" s="207">
        <v>0.01742889238902248</v>
      </c>
      <c r="O35" s="237"/>
      <c r="P35" s="237"/>
      <c r="Q35" s="237"/>
      <c r="R35" s="237"/>
      <c r="S35" s="667"/>
      <c r="T35" s="667"/>
      <c r="U35" s="667"/>
      <c r="V35" s="667"/>
      <c r="W35" s="667"/>
    </row>
    <row r="36" spans="2:16" ht="12.75">
      <c r="B36" s="250" t="s">
        <v>21</v>
      </c>
      <c r="C36" s="251">
        <v>6335</v>
      </c>
      <c r="D36" s="251">
        <v>8687.859120000012</v>
      </c>
      <c r="E36" s="206">
        <v>0.7291784906383233</v>
      </c>
      <c r="F36" s="240">
        <v>37.347547</v>
      </c>
      <c r="G36" s="240">
        <v>56.27585987022003</v>
      </c>
      <c r="H36" s="204">
        <v>0.663651290022554</v>
      </c>
      <c r="I36" s="251">
        <v>1891376.1527300007</v>
      </c>
      <c r="J36" s="206">
        <v>0.21688024867642747</v>
      </c>
      <c r="K36" s="240">
        <v>12109.621753128318</v>
      </c>
      <c r="L36" s="204">
        <v>0.284717539280513</v>
      </c>
      <c r="M36" s="207">
        <v>0.09397830212681647</v>
      </c>
      <c r="O36" s="237"/>
      <c r="P36" s="237"/>
    </row>
    <row r="37" spans="2:16" ht="12.75">
      <c r="B37" s="250" t="s">
        <v>22</v>
      </c>
      <c r="C37" s="251">
        <v>12507</v>
      </c>
      <c r="D37" s="251">
        <v>16284.382169999979</v>
      </c>
      <c r="E37" s="206">
        <v>0.768036506969304</v>
      </c>
      <c r="F37" s="240">
        <v>64.169525</v>
      </c>
      <c r="G37" s="240">
        <v>86.80958531103016</v>
      </c>
      <c r="H37" s="204">
        <v>0.7391986123431753</v>
      </c>
      <c r="I37" s="251">
        <v>1571106.537500001</v>
      </c>
      <c r="J37" s="206">
        <v>0.18015558462991949</v>
      </c>
      <c r="K37" s="240">
        <v>8441.35779440964</v>
      </c>
      <c r="L37" s="204">
        <v>0.1984704946535438</v>
      </c>
      <c r="M37" s="207">
        <v>0.14496833019837685</v>
      </c>
      <c r="O37" s="237"/>
      <c r="P37" s="237"/>
    </row>
    <row r="38" spans="2:16" ht="12.75">
      <c r="B38" s="250" t="s">
        <v>23</v>
      </c>
      <c r="C38" s="251">
        <v>40141</v>
      </c>
      <c r="D38" s="251">
        <v>43993.005529999835</v>
      </c>
      <c r="E38" s="206">
        <v>0.9124405008570495</v>
      </c>
      <c r="F38" s="240">
        <v>129.64198</v>
      </c>
      <c r="G38" s="240">
        <v>152.2692454173399</v>
      </c>
      <c r="H38" s="204">
        <v>0.8513996351967</v>
      </c>
      <c r="I38" s="251">
        <v>1692100.3064399995</v>
      </c>
      <c r="J38" s="206">
        <v>0.19402969352049038</v>
      </c>
      <c r="K38" s="240">
        <v>6027.698961986587</v>
      </c>
      <c r="L38" s="204">
        <v>0.14172132300805965</v>
      </c>
      <c r="M38" s="207">
        <v>0.2542831896918856</v>
      </c>
      <c r="O38" s="237"/>
      <c r="P38" s="237"/>
    </row>
    <row r="39" spans="2:16" ht="12.75">
      <c r="B39" s="250" t="s">
        <v>54</v>
      </c>
      <c r="C39" s="203">
        <v>86732</v>
      </c>
      <c r="D39" s="203">
        <v>87787.13236000013</v>
      </c>
      <c r="E39" s="206">
        <v>0.9879807856614655</v>
      </c>
      <c r="F39" s="240">
        <v>210.973367</v>
      </c>
      <c r="G39" s="240">
        <v>216.8631791253999</v>
      </c>
      <c r="H39" s="204">
        <v>0.9728408845192011</v>
      </c>
      <c r="I39" s="203">
        <v>1403034.8691099992</v>
      </c>
      <c r="J39" s="206">
        <v>0.16088314895747435</v>
      </c>
      <c r="K39" s="240">
        <v>3544.642440078851</v>
      </c>
      <c r="L39" s="206">
        <v>0.0833404951651614</v>
      </c>
      <c r="M39" s="207">
        <v>0.36215232277265724</v>
      </c>
      <c r="O39" s="237"/>
      <c r="P39" s="237"/>
    </row>
    <row r="40" spans="2:16" ht="12.75">
      <c r="B40" s="252" t="s">
        <v>55</v>
      </c>
      <c r="C40" s="209">
        <v>36751</v>
      </c>
      <c r="D40" s="209">
        <v>35438.46560000026</v>
      </c>
      <c r="E40" s="206">
        <v>1.0370369985770413</v>
      </c>
      <c r="F40" s="238">
        <v>76.354321</v>
      </c>
      <c r="G40" s="238">
        <v>72.36210747495002</v>
      </c>
      <c r="H40" s="214">
        <v>1.0551699454915957</v>
      </c>
      <c r="I40" s="209">
        <v>252576.76445999986</v>
      </c>
      <c r="J40" s="210">
        <v>0.028962462811485</v>
      </c>
      <c r="K40" s="238">
        <v>523.8761992989296</v>
      </c>
      <c r="L40" s="210">
        <v>0.012317209025417058</v>
      </c>
      <c r="M40" s="212">
        <v>0.12084165421011504</v>
      </c>
      <c r="O40" s="237"/>
      <c r="P40" s="237"/>
    </row>
    <row r="41" spans="2:13" ht="12.75">
      <c r="B41" s="253"/>
      <c r="C41" s="198"/>
      <c r="D41" s="198"/>
      <c r="E41" s="199"/>
      <c r="F41" s="249"/>
      <c r="G41" s="249"/>
      <c r="H41" s="199"/>
      <c r="I41" s="198"/>
      <c r="J41" s="254"/>
      <c r="K41" s="249"/>
      <c r="L41" s="199"/>
      <c r="M41" s="258"/>
    </row>
    <row r="42" spans="1:16" ht="12.75">
      <c r="A42" s="1" t="s">
        <v>37</v>
      </c>
      <c r="B42" s="248" t="s">
        <v>38</v>
      </c>
      <c r="C42" s="198">
        <v>174082</v>
      </c>
      <c r="D42" s="198">
        <v>181288.44602999953</v>
      </c>
      <c r="E42" s="199">
        <v>0.9602487296470785</v>
      </c>
      <c r="F42" s="249">
        <v>322.70248799999996</v>
      </c>
      <c r="G42" s="249">
        <v>339.1409832492808</v>
      </c>
      <c r="H42" s="199">
        <v>0.9515290216717985</v>
      </c>
      <c r="I42" s="198">
        <v>7297306.516809996</v>
      </c>
      <c r="J42" s="199">
        <v>0.836767265860623</v>
      </c>
      <c r="K42" s="249">
        <v>18664.896575647617</v>
      </c>
      <c r="L42" s="199">
        <v>0.438843056561269</v>
      </c>
      <c r="M42" s="255">
        <v>0.5663510759477961</v>
      </c>
      <c r="O42" s="237"/>
      <c r="P42" s="237"/>
    </row>
    <row r="43" spans="2:16" ht="12.75">
      <c r="B43" s="250" t="s">
        <v>39</v>
      </c>
      <c r="C43" s="203">
        <v>8650</v>
      </c>
      <c r="D43" s="203">
        <v>10489.199429999944</v>
      </c>
      <c r="E43" s="204">
        <v>0.8246577880157672</v>
      </c>
      <c r="F43" s="240">
        <v>99.972511</v>
      </c>
      <c r="G43" s="240">
        <v>121.98208256860013</v>
      </c>
      <c r="H43" s="204">
        <v>0.8195671765464209</v>
      </c>
      <c r="I43" s="203">
        <v>1194203.3238700023</v>
      </c>
      <c r="J43" s="204">
        <v>0.13693686127812527</v>
      </c>
      <c r="K43" s="240">
        <v>13928.528226522105</v>
      </c>
      <c r="L43" s="204">
        <v>0.3274830843853625</v>
      </c>
      <c r="M43" s="207">
        <v>0.20370491070464306</v>
      </c>
      <c r="O43" s="237"/>
      <c r="P43" s="237"/>
    </row>
    <row r="44" spans="2:16" ht="12.75">
      <c r="B44" s="250" t="s">
        <v>40</v>
      </c>
      <c r="C44" s="203">
        <v>1333</v>
      </c>
      <c r="D44" s="203">
        <v>1721.8907300000094</v>
      </c>
      <c r="E44" s="204">
        <v>0.7741490077015472</v>
      </c>
      <c r="F44" s="240">
        <v>37.238716</v>
      </c>
      <c r="G44" s="240">
        <v>48.010391173770046</v>
      </c>
      <c r="H44" s="204">
        <v>0.7756386709122454</v>
      </c>
      <c r="I44" s="203">
        <v>163112.87141999972</v>
      </c>
      <c r="J44" s="204">
        <v>0.018703820530270636</v>
      </c>
      <c r="K44" s="240">
        <v>4501.63927735885</v>
      </c>
      <c r="L44" s="204">
        <v>0.10584109759225256</v>
      </c>
      <c r="M44" s="207">
        <v>0.08017531953061854</v>
      </c>
      <c r="O44" s="237"/>
      <c r="P44" s="237"/>
    </row>
    <row r="45" spans="2:16" ht="12.75">
      <c r="B45" s="250" t="s">
        <v>41</v>
      </c>
      <c r="C45" s="203">
        <v>561</v>
      </c>
      <c r="D45" s="203">
        <v>718.6907400000043</v>
      </c>
      <c r="E45" s="204">
        <v>0.7805860974360079</v>
      </c>
      <c r="F45" s="240">
        <v>30.496565</v>
      </c>
      <c r="G45" s="240">
        <v>39.19691416391002</v>
      </c>
      <c r="H45" s="204">
        <v>0.7780348440816615</v>
      </c>
      <c r="I45" s="203">
        <v>45818.134180000096</v>
      </c>
      <c r="J45" s="204">
        <v>0.005253872065852828</v>
      </c>
      <c r="K45" s="240">
        <v>2512.6477147645824</v>
      </c>
      <c r="L45" s="204">
        <v>0.0590765664701101</v>
      </c>
      <c r="M45" s="207">
        <v>0.06545718626476539</v>
      </c>
      <c r="O45" s="237"/>
      <c r="P45" s="237"/>
    </row>
    <row r="46" spans="2:16" ht="12.75">
      <c r="B46" s="252" t="s">
        <v>56</v>
      </c>
      <c r="C46" s="209">
        <v>278</v>
      </c>
      <c r="D46" s="209">
        <v>334.2709000000006</v>
      </c>
      <c r="E46" s="214">
        <v>0.8316607877024279</v>
      </c>
      <c r="F46" s="238">
        <v>41.157876</v>
      </c>
      <c r="G46" s="238">
        <v>50.487213293669996</v>
      </c>
      <c r="H46" s="214">
        <v>0.8152138594102263</v>
      </c>
      <c r="I46" s="209">
        <v>20390.87663000001</v>
      </c>
      <c r="J46" s="214">
        <v>0.002338180265126808</v>
      </c>
      <c r="K46" s="238">
        <v>2924.342197637209</v>
      </c>
      <c r="L46" s="214">
        <v>0.06875619499100727</v>
      </c>
      <c r="M46" s="212">
        <v>0.08431150755218114</v>
      </c>
      <c r="O46" s="237"/>
      <c r="P46" s="237"/>
    </row>
    <row r="47" spans="3:13" ht="12.75">
      <c r="C47" s="262"/>
      <c r="D47" s="262"/>
      <c r="E47" s="263"/>
      <c r="F47" s="264"/>
      <c r="G47" s="264"/>
      <c r="H47" s="263"/>
      <c r="I47" s="262"/>
      <c r="J47" s="265"/>
      <c r="K47" s="264"/>
      <c r="L47" s="265"/>
      <c r="M47" s="258"/>
    </row>
    <row r="48" spans="1:16" ht="12.75">
      <c r="A48" s="1" t="s">
        <v>207</v>
      </c>
      <c r="B48" s="197">
        <v>2006</v>
      </c>
      <c r="C48" s="198">
        <v>270302</v>
      </c>
      <c r="D48" s="198">
        <v>302046.3884900009</v>
      </c>
      <c r="E48" s="199">
        <v>0.8949022742874087</v>
      </c>
      <c r="F48" s="266">
        <v>1561.716371</v>
      </c>
      <c r="G48" s="266">
        <v>1896.1028997910662</v>
      </c>
      <c r="H48" s="199">
        <v>0.823645368177058</v>
      </c>
      <c r="I48" s="198">
        <v>11225812.217320038</v>
      </c>
      <c r="J48" s="199">
        <v>0.5260836626434453</v>
      </c>
      <c r="K48" s="266">
        <v>85318.46376248161</v>
      </c>
      <c r="L48" s="199">
        <v>0.5114735718793162</v>
      </c>
      <c r="M48" s="255">
        <v>0.5164821738764857</v>
      </c>
      <c r="O48" s="237"/>
      <c r="P48" s="237"/>
    </row>
    <row r="49" spans="2:16" ht="12.75">
      <c r="B49" s="208">
        <v>2007</v>
      </c>
      <c r="C49" s="209">
        <v>239819</v>
      </c>
      <c r="D49" s="209">
        <v>274765.1371200018</v>
      </c>
      <c r="E49" s="214">
        <v>0.8728145153846818</v>
      </c>
      <c r="F49" s="267">
        <v>1415.0209949999999</v>
      </c>
      <c r="G49" s="267">
        <v>1775.0845984332661</v>
      </c>
      <c r="H49" s="214">
        <v>0.7971569333928832</v>
      </c>
      <c r="I49" s="209">
        <v>10112642.128350044</v>
      </c>
      <c r="J49" s="214">
        <v>0.4739163373565566</v>
      </c>
      <c r="K49" s="267">
        <v>81490.67057655117</v>
      </c>
      <c r="L49" s="214">
        <v>0.48852642812068603</v>
      </c>
      <c r="M49" s="212">
        <v>0.4835178261235216</v>
      </c>
      <c r="O49" s="237"/>
      <c r="P49" s="237"/>
    </row>
    <row r="50" spans="8:13" ht="12.75">
      <c r="H50" s="263"/>
      <c r="M50" s="243"/>
    </row>
    <row r="51" ht="12.75">
      <c r="M51" s="243"/>
    </row>
    <row r="52" ht="12.75">
      <c r="M52" s="243"/>
    </row>
    <row r="53" ht="12.75">
      <c r="M53" s="243"/>
    </row>
    <row r="54" ht="12.75">
      <c r="M54" s="243"/>
    </row>
    <row r="55" ht="12.75">
      <c r="M55" s="243"/>
    </row>
    <row r="56" ht="12.75">
      <c r="M56" s="243"/>
    </row>
    <row r="57" ht="12.75">
      <c r="M57" s="243"/>
    </row>
    <row r="58" ht="12.75">
      <c r="M58" s="243"/>
    </row>
    <row r="59" ht="12.75">
      <c r="M59" s="243"/>
    </row>
    <row r="60" ht="12.75">
      <c r="M60" s="243"/>
    </row>
    <row r="61" ht="12.75">
      <c r="M61" s="243"/>
    </row>
    <row r="62" ht="12.75">
      <c r="M62" s="243"/>
    </row>
    <row r="63" ht="12.75">
      <c r="M63" s="243"/>
    </row>
    <row r="64" ht="12.75">
      <c r="M64" s="243"/>
    </row>
    <row r="65" ht="12.75">
      <c r="M65" s="243"/>
    </row>
    <row r="66" ht="12.75">
      <c r="M66" s="243"/>
    </row>
    <row r="67" ht="12.75">
      <c r="M67" s="243"/>
    </row>
    <row r="68" ht="12.75">
      <c r="M68" s="243"/>
    </row>
    <row r="69" ht="12.75">
      <c r="M69" s="243"/>
    </row>
    <row r="70" ht="12.75">
      <c r="M70" s="243"/>
    </row>
    <row r="71" ht="12.75">
      <c r="M71" s="243"/>
    </row>
    <row r="72" ht="12.75">
      <c r="M72" s="243"/>
    </row>
    <row r="73" ht="12.75">
      <c r="M73" s="243"/>
    </row>
    <row r="74" ht="12.75">
      <c r="M74" s="243"/>
    </row>
    <row r="75" ht="12.75">
      <c r="M75" s="243"/>
    </row>
    <row r="76" ht="12.75">
      <c r="M76" s="243"/>
    </row>
    <row r="77" ht="12.75">
      <c r="M77" s="243"/>
    </row>
    <row r="78" ht="12.75">
      <c r="M78" s="243"/>
    </row>
    <row r="79" ht="12.75">
      <c r="M79" s="243"/>
    </row>
    <row r="80" ht="12.75">
      <c r="M80" s="243"/>
    </row>
    <row r="81" ht="12.75">
      <c r="M81" s="243"/>
    </row>
    <row r="82" ht="12.75">
      <c r="M82" s="243"/>
    </row>
    <row r="83" ht="12.75">
      <c r="M83" s="243"/>
    </row>
    <row r="84" ht="12.75">
      <c r="M84" s="243"/>
    </row>
    <row r="85" ht="12.75">
      <c r="M85" s="243"/>
    </row>
    <row r="86" ht="12.75">
      <c r="M86" s="243"/>
    </row>
    <row r="87" ht="12.75">
      <c r="M87" s="243"/>
    </row>
    <row r="88" ht="12.75">
      <c r="M88" s="243"/>
    </row>
    <row r="89" ht="12.75">
      <c r="M89" s="243"/>
    </row>
    <row r="90" ht="12.75">
      <c r="M90" s="243"/>
    </row>
    <row r="91" ht="12.75">
      <c r="M91" s="243"/>
    </row>
    <row r="92" ht="12.75">
      <c r="M92" s="243"/>
    </row>
    <row r="93" ht="12.75">
      <c r="M93" s="243"/>
    </row>
    <row r="94" ht="12.75">
      <c r="M94" s="243"/>
    </row>
    <row r="95" ht="12.75">
      <c r="M95" s="243"/>
    </row>
    <row r="96" ht="12.75">
      <c r="M96" s="243"/>
    </row>
    <row r="97" ht="12.75">
      <c r="M97" s="243"/>
    </row>
    <row r="98" ht="12.75">
      <c r="M98" s="243"/>
    </row>
    <row r="99" ht="12.75">
      <c r="M99" s="243"/>
    </row>
    <row r="100" ht="12.75">
      <c r="M100" s="243"/>
    </row>
    <row r="101" ht="12.75">
      <c r="M101" s="243"/>
    </row>
    <row r="102" ht="12.75">
      <c r="M102" s="243"/>
    </row>
    <row r="103" ht="12.75">
      <c r="M103" s="243"/>
    </row>
    <row r="104" ht="12.75">
      <c r="M104" s="243"/>
    </row>
    <row r="105" ht="12.75">
      <c r="M105" s="243"/>
    </row>
    <row r="106" ht="12.75">
      <c r="M106" s="243"/>
    </row>
    <row r="107" ht="12.75">
      <c r="M107" s="243"/>
    </row>
    <row r="108" ht="12.75">
      <c r="M108" s="243"/>
    </row>
    <row r="109" ht="12.75">
      <c r="M109" s="243"/>
    </row>
    <row r="110" ht="12.75">
      <c r="M110" s="243"/>
    </row>
    <row r="111" ht="12.75">
      <c r="M111" s="243"/>
    </row>
    <row r="112" ht="12.75">
      <c r="M112" s="243"/>
    </row>
    <row r="113" ht="12.75">
      <c r="M113" s="243"/>
    </row>
    <row r="114" ht="12.75">
      <c r="M114" s="243"/>
    </row>
    <row r="115" ht="12.75">
      <c r="M115" s="243"/>
    </row>
    <row r="116" ht="12.75">
      <c r="M116" s="243"/>
    </row>
    <row r="117" ht="12.75">
      <c r="M117" s="243"/>
    </row>
    <row r="118" ht="12.75">
      <c r="M118" s="243"/>
    </row>
    <row r="119" ht="12.75">
      <c r="M119" s="243"/>
    </row>
    <row r="120" ht="12.75">
      <c r="M120" s="243"/>
    </row>
    <row r="121" ht="12.75">
      <c r="M121" s="243"/>
    </row>
    <row r="122" ht="12.75">
      <c r="M122" s="243"/>
    </row>
    <row r="123" ht="12.75">
      <c r="M123" s="243"/>
    </row>
    <row r="124" ht="12.75">
      <c r="M124" s="243"/>
    </row>
    <row r="125" ht="12.75">
      <c r="M125" s="243"/>
    </row>
    <row r="126" ht="12.75">
      <c r="M126" s="243"/>
    </row>
    <row r="127" ht="12.75">
      <c r="M127" s="243"/>
    </row>
    <row r="128" ht="12.75">
      <c r="M128" s="243"/>
    </row>
    <row r="129" ht="12.75">
      <c r="M129" s="243"/>
    </row>
    <row r="130" ht="12.75">
      <c r="M130" s="243"/>
    </row>
    <row r="131" ht="12.75">
      <c r="M131" s="243"/>
    </row>
    <row r="132" ht="12.75">
      <c r="M132" s="243"/>
    </row>
    <row r="133" ht="12.75">
      <c r="M133" s="243"/>
    </row>
    <row r="134" ht="12.75">
      <c r="M134" s="243"/>
    </row>
    <row r="135" ht="12.75">
      <c r="M135" s="243"/>
    </row>
    <row r="136" ht="12.75">
      <c r="M136" s="243"/>
    </row>
    <row r="137" ht="12.75">
      <c r="M137" s="243"/>
    </row>
    <row r="138" ht="12.75">
      <c r="M138" s="243"/>
    </row>
    <row r="139" ht="12.75">
      <c r="M139" s="243"/>
    </row>
    <row r="140" ht="12.75">
      <c r="M140" s="243"/>
    </row>
    <row r="141" ht="12.75">
      <c r="M141" s="243"/>
    </row>
    <row r="142" ht="12.75">
      <c r="M142" s="243"/>
    </row>
    <row r="143" ht="12.75">
      <c r="M143" s="243"/>
    </row>
    <row r="144" ht="12.75">
      <c r="M144" s="243"/>
    </row>
    <row r="145" ht="12.75">
      <c r="M145" s="243"/>
    </row>
    <row r="146" ht="12.75">
      <c r="M146" s="243"/>
    </row>
    <row r="147" ht="12.75">
      <c r="M147" s="243"/>
    </row>
    <row r="148" ht="12.75">
      <c r="M148" s="243"/>
    </row>
    <row r="149" ht="12.75">
      <c r="M149" s="243"/>
    </row>
    <row r="150" ht="12.75">
      <c r="M150" s="243"/>
    </row>
    <row r="151" ht="12.75">
      <c r="M151" s="243"/>
    </row>
    <row r="152" ht="12.75">
      <c r="M152" s="243"/>
    </row>
    <row r="153" ht="12.75">
      <c r="M153" s="243"/>
    </row>
    <row r="154" ht="12.75">
      <c r="M154" s="243"/>
    </row>
    <row r="155" ht="12.75">
      <c r="M155" s="243"/>
    </row>
    <row r="156" ht="12.75">
      <c r="M156" s="243"/>
    </row>
    <row r="157" ht="12.75">
      <c r="M157" s="243"/>
    </row>
    <row r="158" ht="12.75">
      <c r="M158" s="243"/>
    </row>
    <row r="159" ht="12.75">
      <c r="M159" s="243"/>
    </row>
    <row r="160" ht="12.75">
      <c r="M160" s="243"/>
    </row>
    <row r="161" ht="12.75">
      <c r="M161" s="243"/>
    </row>
    <row r="162" ht="12.75">
      <c r="M162" s="243"/>
    </row>
    <row r="163" ht="12.75">
      <c r="M163" s="243"/>
    </row>
    <row r="164" ht="12.75">
      <c r="M164" s="243"/>
    </row>
    <row r="165" ht="12.75">
      <c r="M165" s="243"/>
    </row>
    <row r="166" ht="12.75">
      <c r="M166" s="243"/>
    </row>
    <row r="167" ht="12.75">
      <c r="M167" s="243"/>
    </row>
    <row r="168" ht="12.75">
      <c r="M168" s="243"/>
    </row>
    <row r="169" ht="12.75">
      <c r="M169" s="243"/>
    </row>
    <row r="170" ht="12.75">
      <c r="M170" s="243"/>
    </row>
    <row r="171" ht="12.75">
      <c r="M171" s="243"/>
    </row>
    <row r="172" ht="12.75">
      <c r="M172" s="243"/>
    </row>
    <row r="173" ht="12.75">
      <c r="M173" s="243"/>
    </row>
    <row r="174" ht="12.75">
      <c r="M174" s="243"/>
    </row>
    <row r="175" ht="12.75">
      <c r="M175" s="243"/>
    </row>
    <row r="176" ht="12.75">
      <c r="M176" s="243"/>
    </row>
    <row r="177" ht="12.75">
      <c r="M177" s="243"/>
    </row>
    <row r="178" ht="12.75">
      <c r="M178" s="243"/>
    </row>
    <row r="179" ht="12.75">
      <c r="M179" s="243"/>
    </row>
    <row r="180" ht="12.75">
      <c r="M180" s="243"/>
    </row>
    <row r="181" ht="12.75">
      <c r="M181" s="243"/>
    </row>
    <row r="182" ht="12.75">
      <c r="M182" s="243"/>
    </row>
    <row r="183" ht="12.75">
      <c r="M183" s="243"/>
    </row>
    <row r="184" ht="12.75">
      <c r="M184" s="243"/>
    </row>
    <row r="185" ht="12.75">
      <c r="M185" s="243"/>
    </row>
    <row r="186" ht="12.75">
      <c r="M186" s="243"/>
    </row>
    <row r="187" ht="12.75">
      <c r="M187" s="243"/>
    </row>
    <row r="188" ht="12.75">
      <c r="M188" s="243"/>
    </row>
    <row r="189" ht="12.75">
      <c r="M189" s="243"/>
    </row>
    <row r="190" ht="12.75">
      <c r="M190" s="243"/>
    </row>
    <row r="191" ht="12.75">
      <c r="M191" s="243"/>
    </row>
    <row r="192" ht="12.75">
      <c r="M192" s="243"/>
    </row>
    <row r="193" ht="12.75">
      <c r="M193" s="243"/>
    </row>
    <row r="194" ht="12.75">
      <c r="M194" s="243"/>
    </row>
    <row r="195" ht="12.75">
      <c r="M195" s="243"/>
    </row>
    <row r="196" ht="12.75">
      <c r="M196" s="243"/>
    </row>
    <row r="197" ht="12.75">
      <c r="M197" s="243"/>
    </row>
    <row r="198" ht="12.75">
      <c r="M198" s="243"/>
    </row>
    <row r="199" ht="12.75">
      <c r="M199" s="243"/>
    </row>
    <row r="200" ht="12.75">
      <c r="M200" s="243"/>
    </row>
    <row r="201" ht="12.75">
      <c r="M201" s="243"/>
    </row>
    <row r="202" ht="12.75">
      <c r="M202" s="243"/>
    </row>
    <row r="203" ht="12.75">
      <c r="M203" s="243"/>
    </row>
    <row r="204" ht="12.75">
      <c r="M204" s="243"/>
    </row>
    <row r="205" ht="12.75">
      <c r="M205" s="243"/>
    </row>
    <row r="206" ht="12.75">
      <c r="M206" s="243"/>
    </row>
    <row r="207" ht="12.75">
      <c r="M207" s="243"/>
    </row>
    <row r="208" ht="12.75">
      <c r="M208" s="243"/>
    </row>
    <row r="209" ht="12.75">
      <c r="M209" s="243"/>
    </row>
    <row r="210" ht="12.75">
      <c r="M210" s="243"/>
    </row>
    <row r="211" ht="12.75">
      <c r="M211" s="243"/>
    </row>
    <row r="212" ht="12.75">
      <c r="M212" s="243"/>
    </row>
    <row r="213" ht="12.75">
      <c r="M213" s="243"/>
    </row>
    <row r="214" ht="12.75">
      <c r="M214" s="243"/>
    </row>
    <row r="215" ht="12.75">
      <c r="M215" s="243"/>
    </row>
    <row r="216" ht="12.75">
      <c r="M216" s="243"/>
    </row>
    <row r="217" ht="12.75">
      <c r="M217" s="243"/>
    </row>
    <row r="218" ht="12.75">
      <c r="M218" s="243"/>
    </row>
    <row r="219" ht="12.75">
      <c r="M219" s="243"/>
    </row>
    <row r="220" ht="12.75">
      <c r="M220" s="243"/>
    </row>
    <row r="221" ht="12.75">
      <c r="M221" s="243"/>
    </row>
    <row r="222" ht="12.75">
      <c r="M222" s="243"/>
    </row>
    <row r="223" ht="12.75">
      <c r="M223" s="243"/>
    </row>
    <row r="224" ht="12.75">
      <c r="M224" s="243"/>
    </row>
    <row r="225" ht="12.75">
      <c r="M225" s="243"/>
    </row>
    <row r="226" ht="12.75">
      <c r="M226" s="243"/>
    </row>
    <row r="227" ht="12.75">
      <c r="M227" s="243"/>
    </row>
    <row r="228" ht="12.75">
      <c r="M228" s="243"/>
    </row>
    <row r="229" ht="12.75">
      <c r="M229" s="243"/>
    </row>
    <row r="230" ht="12.75">
      <c r="M230" s="243"/>
    </row>
    <row r="231" ht="12.75">
      <c r="M231" s="243"/>
    </row>
    <row r="232" ht="12.75">
      <c r="M232" s="243"/>
    </row>
    <row r="233" ht="12.75">
      <c r="M233" s="243"/>
    </row>
    <row r="234" ht="12.75">
      <c r="M234" s="243"/>
    </row>
    <row r="235" ht="12.75">
      <c r="M235" s="243"/>
    </row>
    <row r="236" ht="12.75">
      <c r="M236" s="243"/>
    </row>
    <row r="237" ht="12.75">
      <c r="M237" s="243"/>
    </row>
    <row r="238" ht="12.75">
      <c r="M238" s="243"/>
    </row>
  </sheetData>
  <sheetProtection/>
  <mergeCells count="6">
    <mergeCell ref="B6:M6"/>
    <mergeCell ref="B4:M4"/>
    <mergeCell ref="B1:M1"/>
    <mergeCell ref="B2:M2"/>
    <mergeCell ref="B3:M3"/>
    <mergeCell ref="B5:M5"/>
  </mergeCells>
  <printOptions/>
  <pageMargins left="0.75" right="0.75" top="1" bottom="1" header="0.5" footer="0.5"/>
  <pageSetup horizontalDpi="600" verticalDpi="600" orientation="landscape" scale="66" r:id="rId1"/>
  <headerFooter alignWithMargins="0">
    <oddFooter>&amp;L"&amp;F"&amp;R&amp;"Arial,Italic"&amp;A</oddFooter>
  </headerFooter>
</worksheet>
</file>

<file path=xl/worksheets/sheet14.xml><?xml version="1.0" encoding="utf-8"?>
<worksheet xmlns="http://schemas.openxmlformats.org/spreadsheetml/2006/main" xmlns:r="http://schemas.openxmlformats.org/officeDocument/2006/relationships">
  <dimension ref="A1:AB237"/>
  <sheetViews>
    <sheetView zoomScale="85" zoomScaleNormal="85" zoomScaleSheetLayoutView="85" zoomScalePageLayoutView="0" workbookViewId="0" topLeftCell="A1">
      <selection activeCell="K8" sqref="K8"/>
    </sheetView>
  </sheetViews>
  <sheetFormatPr defaultColWidth="9.140625" defaultRowHeight="12.75"/>
  <cols>
    <col min="1" max="1" width="16.7109375" style="96" customWidth="1"/>
    <col min="2" max="2" width="21.28125" style="269" bestFit="1" customWidth="1"/>
    <col min="3" max="3" width="13.7109375" style="269" bestFit="1" customWidth="1"/>
    <col min="4" max="4" width="13.57421875" style="269" customWidth="1"/>
    <col min="5" max="5" width="10.8515625" style="269" customWidth="1"/>
    <col min="6" max="7" width="13.57421875" style="270" customWidth="1"/>
    <col min="8" max="8" width="10.8515625" style="269" customWidth="1"/>
    <col min="9" max="9" width="14.421875" style="269" customWidth="1"/>
    <col min="10" max="10" width="11.421875" style="269" customWidth="1"/>
    <col min="11" max="11" width="15.8515625" style="270" customWidth="1"/>
    <col min="12" max="12" width="11.57421875" style="269" customWidth="1"/>
    <col min="13" max="13" width="12.00390625" style="271" customWidth="1"/>
    <col min="14" max="16384" width="9.140625" style="268" customWidth="1"/>
  </cols>
  <sheetData>
    <row r="1" spans="2:13" ht="21.75" customHeight="1">
      <c r="B1" s="687" t="s">
        <v>169</v>
      </c>
      <c r="C1" s="687"/>
      <c r="D1" s="687"/>
      <c r="E1" s="687"/>
      <c r="F1" s="687"/>
      <c r="G1" s="687"/>
      <c r="H1" s="687"/>
      <c r="I1" s="687"/>
      <c r="J1" s="687"/>
      <c r="K1" s="687"/>
      <c r="L1" s="687"/>
      <c r="M1" s="687"/>
    </row>
    <row r="2" spans="2:13" ht="18">
      <c r="B2" s="688" t="s">
        <v>80</v>
      </c>
      <c r="C2" s="688"/>
      <c r="D2" s="688"/>
      <c r="E2" s="688"/>
      <c r="F2" s="688"/>
      <c r="G2" s="688"/>
      <c r="H2" s="688"/>
      <c r="I2" s="688"/>
      <c r="J2" s="688"/>
      <c r="K2" s="688"/>
      <c r="L2" s="688"/>
      <c r="M2" s="688"/>
    </row>
    <row r="3" spans="2:13" ht="15.75">
      <c r="B3" s="689" t="s">
        <v>170</v>
      </c>
      <c r="C3" s="689"/>
      <c r="D3" s="689"/>
      <c r="E3" s="689"/>
      <c r="F3" s="689"/>
      <c r="G3" s="689"/>
      <c r="H3" s="689"/>
      <c r="I3" s="689"/>
      <c r="J3" s="689"/>
      <c r="K3" s="689"/>
      <c r="L3" s="689"/>
      <c r="M3" s="689"/>
    </row>
    <row r="4" spans="2:13" ht="14.25" customHeight="1">
      <c r="B4" s="690" t="s">
        <v>171</v>
      </c>
      <c r="C4" s="690"/>
      <c r="D4" s="690"/>
      <c r="E4" s="690"/>
      <c r="F4" s="690"/>
      <c r="G4" s="690"/>
      <c r="H4" s="690"/>
      <c r="I4" s="690"/>
      <c r="J4" s="690"/>
      <c r="K4" s="690"/>
      <c r="L4" s="690"/>
      <c r="M4" s="690"/>
    </row>
    <row r="5" spans="2:13" ht="12.75">
      <c r="B5" s="691" t="s">
        <v>172</v>
      </c>
      <c r="C5" s="691"/>
      <c r="D5" s="691"/>
      <c r="E5" s="691"/>
      <c r="F5" s="691"/>
      <c r="G5" s="691"/>
      <c r="H5" s="691"/>
      <c r="I5" s="691"/>
      <c r="J5" s="691"/>
      <c r="K5" s="691"/>
      <c r="L5" s="691"/>
      <c r="M5" s="691"/>
    </row>
    <row r="6" spans="1:28" ht="7.5" customHeight="1">
      <c r="A6" s="691"/>
      <c r="B6" s="691"/>
      <c r="C6" s="691"/>
      <c r="D6" s="691"/>
      <c r="E6" s="691"/>
      <c r="F6" s="691"/>
      <c r="G6" s="691"/>
      <c r="H6" s="691"/>
      <c r="I6" s="691"/>
      <c r="J6" s="691"/>
      <c r="K6" s="691"/>
      <c r="L6" s="691"/>
      <c r="M6" s="691"/>
      <c r="N6" s="691"/>
      <c r="O6" s="691"/>
      <c r="P6" s="691"/>
      <c r="Q6" s="691"/>
      <c r="R6" s="691"/>
      <c r="S6" s="691"/>
      <c r="T6" s="691"/>
      <c r="U6" s="691"/>
      <c r="V6" s="691"/>
      <c r="W6" s="691"/>
      <c r="X6" s="691"/>
      <c r="Y6" s="691"/>
      <c r="Z6" s="691"/>
      <c r="AA6" s="691"/>
      <c r="AB6" s="691"/>
    </row>
    <row r="7" spans="3:13" ht="39" customHeight="1">
      <c r="C7" s="272" t="s">
        <v>2</v>
      </c>
      <c r="D7" s="272" t="s">
        <v>3</v>
      </c>
      <c r="E7" s="224" t="s">
        <v>257</v>
      </c>
      <c r="F7" s="273" t="s">
        <v>4</v>
      </c>
      <c r="G7" s="273" t="s">
        <v>5</v>
      </c>
      <c r="H7" s="224" t="s">
        <v>70</v>
      </c>
      <c r="I7" s="272" t="s">
        <v>273</v>
      </c>
      <c r="J7" s="272" t="s">
        <v>7</v>
      </c>
      <c r="K7" s="273" t="s">
        <v>261</v>
      </c>
      <c r="L7" s="226" t="s">
        <v>8</v>
      </c>
      <c r="M7" s="97" t="s">
        <v>9</v>
      </c>
    </row>
    <row r="8" spans="1:13" ht="12.75">
      <c r="A8" s="96" t="s">
        <v>10</v>
      </c>
      <c r="B8" s="274"/>
      <c r="C8" s="503">
        <v>14167</v>
      </c>
      <c r="D8" s="503">
        <v>21220.02772999788</v>
      </c>
      <c r="E8" s="504">
        <v>0.6676240097449399</v>
      </c>
      <c r="F8" s="32">
        <v>3985.6548110000003</v>
      </c>
      <c r="G8" s="32">
        <v>6280.555897834539</v>
      </c>
      <c r="H8" s="504">
        <v>0.6346022351897556</v>
      </c>
      <c r="I8" s="503">
        <v>12234660.180259634</v>
      </c>
      <c r="J8" s="504">
        <v>1</v>
      </c>
      <c r="K8" s="32">
        <v>4081305.577902423</v>
      </c>
      <c r="L8" s="34">
        <v>1</v>
      </c>
      <c r="M8" s="505">
        <v>1</v>
      </c>
    </row>
    <row r="9" spans="3:13" ht="12.75">
      <c r="C9" s="272"/>
      <c r="D9" s="272"/>
      <c r="E9" s="506"/>
      <c r="F9" s="230"/>
      <c r="G9" s="230"/>
      <c r="H9" s="506"/>
      <c r="I9" s="507"/>
      <c r="J9" s="506"/>
      <c r="K9" s="230"/>
      <c r="L9" s="506"/>
      <c r="M9" s="508"/>
    </row>
    <row r="10" spans="1:13" ht="12.75">
      <c r="A10" s="96" t="s">
        <v>25</v>
      </c>
      <c r="B10" s="98" t="s">
        <v>27</v>
      </c>
      <c r="C10" s="509">
        <v>9984</v>
      </c>
      <c r="D10" s="509">
        <v>14764.671179998466</v>
      </c>
      <c r="E10" s="510">
        <v>0.6762087606478641</v>
      </c>
      <c r="F10" s="249">
        <v>2941.249862</v>
      </c>
      <c r="G10" s="249">
        <v>4666.676592486762</v>
      </c>
      <c r="H10" s="510">
        <v>0.6302664870189081</v>
      </c>
      <c r="I10" s="509">
        <v>7336389.300059648</v>
      </c>
      <c r="J10" s="510">
        <v>0.5996398095221932</v>
      </c>
      <c r="K10" s="249">
        <v>2765274.426782693</v>
      </c>
      <c r="L10" s="510">
        <v>0.6775465286781831</v>
      </c>
      <c r="M10" s="511">
        <v>0.7430355956382423</v>
      </c>
    </row>
    <row r="11" spans="2:13" ht="12.75">
      <c r="B11" s="99" t="s">
        <v>26</v>
      </c>
      <c r="C11" s="512">
        <v>4183</v>
      </c>
      <c r="D11" s="512">
        <v>6455.356549999415</v>
      </c>
      <c r="E11" s="513">
        <v>0.6479889945041656</v>
      </c>
      <c r="F11" s="389">
        <v>1044.404949</v>
      </c>
      <c r="G11" s="389">
        <v>1613.8793053477766</v>
      </c>
      <c r="H11" s="513">
        <v>0.6471394394483174</v>
      </c>
      <c r="I11" s="512">
        <v>4898270.880199986</v>
      </c>
      <c r="J11" s="513">
        <v>0.40036019047780685</v>
      </c>
      <c r="K11" s="389">
        <v>1316031.1511197304</v>
      </c>
      <c r="L11" s="513">
        <v>0.3224534713218169</v>
      </c>
      <c r="M11" s="514">
        <v>0.2569644043617577</v>
      </c>
    </row>
    <row r="12" spans="2:13" ht="12.75">
      <c r="B12" s="100"/>
      <c r="C12" s="515"/>
      <c r="D12" s="515"/>
      <c r="E12" s="516"/>
      <c r="F12" s="240"/>
      <c r="G12" s="240"/>
      <c r="H12" s="516"/>
      <c r="I12" s="517"/>
      <c r="J12" s="516"/>
      <c r="K12" s="240"/>
      <c r="L12" s="206"/>
      <c r="M12" s="258"/>
    </row>
    <row r="13" spans="1:13" ht="12.75">
      <c r="A13" s="96" t="s">
        <v>11</v>
      </c>
      <c r="B13" s="101" t="s">
        <v>17</v>
      </c>
      <c r="C13" s="509">
        <v>482</v>
      </c>
      <c r="D13" s="509">
        <v>709.7038600000602</v>
      </c>
      <c r="E13" s="518">
        <v>0.6791565146622692</v>
      </c>
      <c r="F13" s="249">
        <v>116.035835</v>
      </c>
      <c r="G13" s="249">
        <v>179.00042266021</v>
      </c>
      <c r="H13" s="518">
        <v>0.6482433576163483</v>
      </c>
      <c r="I13" s="509">
        <v>1419475.480840014</v>
      </c>
      <c r="J13" s="510">
        <v>0.11602083424681528</v>
      </c>
      <c r="K13" s="249">
        <v>389934.5415545781</v>
      </c>
      <c r="L13" s="235">
        <v>0.09554161875695277</v>
      </c>
      <c r="M13" s="236">
        <v>0.028500729166653423</v>
      </c>
    </row>
    <row r="14" spans="2:13" ht="12.75">
      <c r="B14" s="102" t="s">
        <v>18</v>
      </c>
      <c r="C14" s="251">
        <v>996</v>
      </c>
      <c r="D14" s="251">
        <v>1505.010930000059</v>
      </c>
      <c r="E14" s="206">
        <v>0.6617892137168472</v>
      </c>
      <c r="F14" s="240">
        <v>303.595097</v>
      </c>
      <c r="G14" s="240">
        <v>460.1322798539967</v>
      </c>
      <c r="H14" s="206">
        <v>0.6597996060966054</v>
      </c>
      <c r="I14" s="251">
        <v>2380711.25102999</v>
      </c>
      <c r="J14" s="516">
        <v>0.19458744386470314</v>
      </c>
      <c r="K14" s="240">
        <v>814719.0665108797</v>
      </c>
      <c r="L14" s="516">
        <v>0.19962216770095478</v>
      </c>
      <c r="M14" s="207">
        <v>0.07326298616538782</v>
      </c>
    </row>
    <row r="15" spans="2:13" ht="12.75">
      <c r="B15" s="102" t="s">
        <v>19</v>
      </c>
      <c r="C15" s="251">
        <v>1536</v>
      </c>
      <c r="D15" s="251">
        <v>2305.226470000074</v>
      </c>
      <c r="E15" s="206">
        <v>0.6663119741115721</v>
      </c>
      <c r="F15" s="240">
        <v>444.772384</v>
      </c>
      <c r="G15" s="240">
        <v>737.0246209538022</v>
      </c>
      <c r="H15" s="206">
        <v>0.603470184516236</v>
      </c>
      <c r="I15" s="251">
        <v>2573928.1881000022</v>
      </c>
      <c r="J15" s="516">
        <v>0.21038003100837904</v>
      </c>
      <c r="K15" s="240">
        <v>942104.2350731415</v>
      </c>
      <c r="L15" s="516">
        <v>0.230834035112199</v>
      </c>
      <c r="M15" s="207">
        <v>0.11735022073570264</v>
      </c>
    </row>
    <row r="16" spans="2:13" ht="12.75">
      <c r="B16" s="102" t="s">
        <v>20</v>
      </c>
      <c r="C16" s="251">
        <v>3989</v>
      </c>
      <c r="D16" s="251">
        <v>6234.310260000347</v>
      </c>
      <c r="E16" s="206">
        <v>0.6398462433917714</v>
      </c>
      <c r="F16" s="240">
        <v>1160.840437</v>
      </c>
      <c r="G16" s="240">
        <v>1882.763262181344</v>
      </c>
      <c r="H16" s="516">
        <v>0.6165620820830474</v>
      </c>
      <c r="I16" s="251">
        <v>3728847.646950041</v>
      </c>
      <c r="J16" s="516">
        <v>0.30477737771306945</v>
      </c>
      <c r="K16" s="240">
        <v>1284246.3967429262</v>
      </c>
      <c r="L16" s="516">
        <v>0.3146655824293758</v>
      </c>
      <c r="M16" s="207">
        <v>0.2997765313784562</v>
      </c>
    </row>
    <row r="17" spans="2:13" ht="12.75">
      <c r="B17" s="102" t="s">
        <v>21</v>
      </c>
      <c r="C17" s="251">
        <v>3705</v>
      </c>
      <c r="D17" s="251">
        <v>5837.028980000367</v>
      </c>
      <c r="E17" s="206">
        <v>0.6347407238673274</v>
      </c>
      <c r="F17" s="240">
        <v>968.610627</v>
      </c>
      <c r="G17" s="240">
        <v>1630.112320460487</v>
      </c>
      <c r="H17" s="516">
        <v>0.5941987032687289</v>
      </c>
      <c r="I17" s="251">
        <v>1674857.1006300093</v>
      </c>
      <c r="J17" s="516">
        <v>0.13689445198750644</v>
      </c>
      <c r="K17" s="240">
        <v>513715.5430662509</v>
      </c>
      <c r="L17" s="516">
        <v>0.12587039447565054</v>
      </c>
      <c r="M17" s="207">
        <v>0.2595490505900171</v>
      </c>
    </row>
    <row r="18" spans="2:13" ht="12.75">
      <c r="B18" s="102" t="s">
        <v>22</v>
      </c>
      <c r="C18" s="251">
        <v>2249</v>
      </c>
      <c r="D18" s="251">
        <v>2984.495199999982</v>
      </c>
      <c r="E18" s="206">
        <v>0.7535612722714425</v>
      </c>
      <c r="F18" s="240">
        <v>574.22645</v>
      </c>
      <c r="G18" s="240">
        <v>791.0842471171505</v>
      </c>
      <c r="H18" s="516">
        <v>0.7258726894039184</v>
      </c>
      <c r="I18" s="251">
        <v>384887.896750001</v>
      </c>
      <c r="J18" s="516">
        <v>0.03145881381903925</v>
      </c>
      <c r="K18" s="240">
        <v>110382.47044647613</v>
      </c>
      <c r="L18" s="516">
        <v>0.027045872537485156</v>
      </c>
      <c r="M18" s="207">
        <v>0.1259576795407405</v>
      </c>
    </row>
    <row r="19" spans="2:13" ht="12.75">
      <c r="B19" s="102" t="s">
        <v>23</v>
      </c>
      <c r="C19" s="251">
        <v>909</v>
      </c>
      <c r="D19" s="251">
        <v>1226.2926999999981</v>
      </c>
      <c r="E19" s="206">
        <v>0.7412585918516855</v>
      </c>
      <c r="F19" s="240">
        <v>285.577154</v>
      </c>
      <c r="G19" s="240">
        <v>408.1767987776302</v>
      </c>
      <c r="H19" s="516">
        <v>0.6996408293053888</v>
      </c>
      <c r="I19" s="251">
        <v>63031.48725000011</v>
      </c>
      <c r="J19" s="516">
        <v>0.005151878868830381</v>
      </c>
      <c r="K19" s="240">
        <v>21860.531787402168</v>
      </c>
      <c r="L19" s="516">
        <v>0.005356259503273297</v>
      </c>
      <c r="M19" s="207">
        <v>0.06499055265448155</v>
      </c>
    </row>
    <row r="20" spans="2:13" ht="12.75">
      <c r="B20" s="103" t="s">
        <v>24</v>
      </c>
      <c r="C20" s="519">
        <v>301</v>
      </c>
      <c r="D20" s="519">
        <v>417.95933000000065</v>
      </c>
      <c r="E20" s="210">
        <v>0.720165763496653</v>
      </c>
      <c r="F20" s="238">
        <v>131.996827</v>
      </c>
      <c r="G20" s="238">
        <v>192.26194582984016</v>
      </c>
      <c r="H20" s="520">
        <v>0.686546817313618</v>
      </c>
      <c r="I20" s="519">
        <v>8921.128709999999</v>
      </c>
      <c r="J20" s="520">
        <v>0.0007291684916916657</v>
      </c>
      <c r="K20" s="238">
        <v>4342.792720719639</v>
      </c>
      <c r="L20" s="210">
        <v>0.0010640694840967058</v>
      </c>
      <c r="M20" s="212">
        <v>0.03061224976854832</v>
      </c>
    </row>
    <row r="21" spans="2:14" ht="12.75">
      <c r="B21" s="104"/>
      <c r="C21" s="515"/>
      <c r="D21" s="515"/>
      <c r="E21" s="206"/>
      <c r="F21" s="240"/>
      <c r="G21" s="240"/>
      <c r="H21" s="516"/>
      <c r="I21" s="515"/>
      <c r="J21" s="516"/>
      <c r="K21" s="240"/>
      <c r="L21" s="206"/>
      <c r="M21" s="206"/>
      <c r="N21" s="269"/>
    </row>
    <row r="22" spans="1:14" ht="12.75">
      <c r="A22" s="96" t="s">
        <v>28</v>
      </c>
      <c r="B22" s="105">
        <v>1</v>
      </c>
      <c r="C22" s="509">
        <v>594</v>
      </c>
      <c r="D22" s="509">
        <v>1001.4595800000543</v>
      </c>
      <c r="E22" s="518">
        <v>0.5931342730776691</v>
      </c>
      <c r="F22" s="249">
        <v>216.411484</v>
      </c>
      <c r="G22" s="249">
        <v>404.51037695816285</v>
      </c>
      <c r="H22" s="518">
        <v>0.5349961245181671</v>
      </c>
      <c r="I22" s="509">
        <v>1562684.9511800017</v>
      </c>
      <c r="J22" s="510">
        <v>0.12772606089226418</v>
      </c>
      <c r="K22" s="249">
        <v>658876.1419645543</v>
      </c>
      <c r="L22" s="235">
        <v>0.16143759132664162</v>
      </c>
      <c r="M22" s="236">
        <v>0.06440677919889753</v>
      </c>
      <c r="N22" s="269"/>
    </row>
    <row r="23" spans="2:13" ht="12.75">
      <c r="B23" s="106">
        <v>2</v>
      </c>
      <c r="C23" s="251">
        <v>950</v>
      </c>
      <c r="D23" s="251">
        <v>1449.0825500001106</v>
      </c>
      <c r="E23" s="206">
        <v>0.6555872196514461</v>
      </c>
      <c r="F23" s="240">
        <v>315.720267</v>
      </c>
      <c r="G23" s="240">
        <v>559.6926430378776</v>
      </c>
      <c r="H23" s="206">
        <v>0.5640957960182325</v>
      </c>
      <c r="I23" s="251">
        <v>1554859.9158600296</v>
      </c>
      <c r="J23" s="206">
        <v>0.1270864815983008</v>
      </c>
      <c r="K23" s="240">
        <v>628335.921160159</v>
      </c>
      <c r="L23" s="516">
        <v>0.15395463759493616</v>
      </c>
      <c r="M23" s="207">
        <v>0.08911514396852244</v>
      </c>
    </row>
    <row r="24" spans="2:13" ht="12.75">
      <c r="B24" s="106">
        <v>3</v>
      </c>
      <c r="C24" s="251">
        <v>1404</v>
      </c>
      <c r="D24" s="251">
        <v>1824.1329200000723</v>
      </c>
      <c r="E24" s="206">
        <v>0.7696807533082317</v>
      </c>
      <c r="F24" s="240">
        <v>474.164169</v>
      </c>
      <c r="G24" s="240">
        <v>669.8800746848415</v>
      </c>
      <c r="H24" s="206">
        <v>0.7078344123357903</v>
      </c>
      <c r="I24" s="251">
        <v>1532786.3999400204</v>
      </c>
      <c r="J24" s="206">
        <v>0.12528230268406956</v>
      </c>
      <c r="K24" s="240">
        <v>590100.0417853163</v>
      </c>
      <c r="L24" s="516">
        <v>0.1445860964149116</v>
      </c>
      <c r="M24" s="207">
        <v>0.10665936034671838</v>
      </c>
    </row>
    <row r="25" spans="2:13" ht="12.75">
      <c r="B25" s="107" t="s">
        <v>32</v>
      </c>
      <c r="C25" s="251">
        <v>3054</v>
      </c>
      <c r="D25" s="251">
        <v>4168.924390000394</v>
      </c>
      <c r="E25" s="206">
        <v>0.7325630580696887</v>
      </c>
      <c r="F25" s="240">
        <v>924.141272</v>
      </c>
      <c r="G25" s="240">
        <v>1342.5317339433168</v>
      </c>
      <c r="H25" s="206">
        <v>0.6883571156158743</v>
      </c>
      <c r="I25" s="251">
        <v>2827181.424230038</v>
      </c>
      <c r="J25" s="206">
        <v>0.23107968530189632</v>
      </c>
      <c r="K25" s="240">
        <v>944341.7994508359</v>
      </c>
      <c r="L25" s="516">
        <v>0.23138228231765434</v>
      </c>
      <c r="M25" s="207">
        <v>0.21376001675364528</v>
      </c>
    </row>
    <row r="26" spans="2:13" ht="12.75">
      <c r="B26" s="108" t="s">
        <v>33</v>
      </c>
      <c r="C26" s="251">
        <v>5957</v>
      </c>
      <c r="D26" s="251">
        <v>9260.283069999154</v>
      </c>
      <c r="E26" s="206">
        <v>0.6432848709883492</v>
      </c>
      <c r="F26" s="240">
        <v>1586.572914</v>
      </c>
      <c r="G26" s="240">
        <v>2570.9259277254564</v>
      </c>
      <c r="H26" s="206">
        <v>0.6171212079235862</v>
      </c>
      <c r="I26" s="251">
        <v>3867441.952579865</v>
      </c>
      <c r="J26" s="206">
        <v>0.3161053838520093</v>
      </c>
      <c r="K26" s="240">
        <v>1085480.297757037</v>
      </c>
      <c r="L26" s="516">
        <v>0.2659639855526125</v>
      </c>
      <c r="M26" s="207">
        <v>0.40934687463125374</v>
      </c>
    </row>
    <row r="27" spans="2:13" ht="12.75">
      <c r="B27" s="109" t="s">
        <v>34</v>
      </c>
      <c r="C27" s="521">
        <v>2208</v>
      </c>
      <c r="D27" s="521">
        <v>3516.1452200000617</v>
      </c>
      <c r="E27" s="210">
        <v>0.6279604117147247</v>
      </c>
      <c r="F27" s="238">
        <v>468.644705</v>
      </c>
      <c r="G27" s="238">
        <v>733.0151414847751</v>
      </c>
      <c r="H27" s="520">
        <v>0.6393383689874759</v>
      </c>
      <c r="I27" s="521">
        <v>889705.5364699997</v>
      </c>
      <c r="J27" s="210">
        <v>0.07272008567148606</v>
      </c>
      <c r="K27" s="238">
        <v>174171.37578447588</v>
      </c>
      <c r="L27" s="520">
        <v>0.04267540679323277</v>
      </c>
      <c r="M27" s="212">
        <v>0.11671182510094529</v>
      </c>
    </row>
    <row r="28" spans="2:13" ht="12.75">
      <c r="B28" s="104"/>
      <c r="C28" s="515"/>
      <c r="D28" s="515"/>
      <c r="E28" s="516"/>
      <c r="F28" s="240"/>
      <c r="G28" s="240"/>
      <c r="H28" s="516"/>
      <c r="I28" s="515"/>
      <c r="J28" s="206"/>
      <c r="K28" s="240"/>
      <c r="L28" s="206"/>
      <c r="M28" s="258"/>
    </row>
    <row r="29" spans="1:13" ht="12.75">
      <c r="A29" s="96" t="s">
        <v>59</v>
      </c>
      <c r="B29" s="101" t="s">
        <v>42</v>
      </c>
      <c r="C29" s="509">
        <v>8197</v>
      </c>
      <c r="D29" s="509">
        <v>11554.802229999248</v>
      </c>
      <c r="E29" s="510">
        <v>0.7094020163078579</v>
      </c>
      <c r="F29" s="249">
        <v>1016.917717</v>
      </c>
      <c r="G29" s="249">
        <v>1452.0051120435896</v>
      </c>
      <c r="H29" s="510">
        <v>0.7003540886772525</v>
      </c>
      <c r="I29" s="509">
        <v>5257301.748809938</v>
      </c>
      <c r="J29" s="510">
        <v>0.42970557999579617</v>
      </c>
      <c r="K29" s="249">
        <v>674999.7620743164</v>
      </c>
      <c r="L29" s="213">
        <v>0.16538819482887895</v>
      </c>
      <c r="M29" s="255">
        <v>0.23119054040172204</v>
      </c>
    </row>
    <row r="30" spans="2:13" ht="12.75">
      <c r="B30" s="102" t="s">
        <v>43</v>
      </c>
      <c r="C30" s="515">
        <v>3431</v>
      </c>
      <c r="D30" s="515">
        <v>5512.825950000109</v>
      </c>
      <c r="E30" s="516">
        <v>0.6223668280330766</v>
      </c>
      <c r="F30" s="240">
        <v>976.782021</v>
      </c>
      <c r="G30" s="240">
        <v>1575.4523048605915</v>
      </c>
      <c r="H30" s="516">
        <v>0.6200010104948454</v>
      </c>
      <c r="I30" s="515">
        <v>3906744.140189909</v>
      </c>
      <c r="J30" s="516">
        <v>0.3193177483174693</v>
      </c>
      <c r="K30" s="240">
        <v>1099981.0286503185</v>
      </c>
      <c r="L30" s="206">
        <v>0.2695169493325837</v>
      </c>
      <c r="M30" s="207">
        <v>0.2508459968334632</v>
      </c>
    </row>
    <row r="31" spans="2:13" ht="12.75">
      <c r="B31" s="102" t="s">
        <v>44</v>
      </c>
      <c r="C31" s="515">
        <v>1659</v>
      </c>
      <c r="D31" s="515">
        <v>2734.009140000308</v>
      </c>
      <c r="E31" s="516">
        <v>0.6068011901378695</v>
      </c>
      <c r="F31" s="240">
        <v>915.195952</v>
      </c>
      <c r="G31" s="240">
        <v>1516.387490255696</v>
      </c>
      <c r="H31" s="516">
        <v>0.6035369968962735</v>
      </c>
      <c r="I31" s="515">
        <v>2092761.8391900356</v>
      </c>
      <c r="J31" s="516">
        <v>0.17105189750726896</v>
      </c>
      <c r="K31" s="240">
        <v>1143684.785400622</v>
      </c>
      <c r="L31" s="206">
        <v>0.2802252278273209</v>
      </c>
      <c r="M31" s="207">
        <v>0.24144160404312753</v>
      </c>
    </row>
    <row r="32" spans="2:13" ht="12.75">
      <c r="B32" s="103" t="s">
        <v>173</v>
      </c>
      <c r="C32" s="519">
        <v>880</v>
      </c>
      <c r="D32" s="519">
        <v>1418.3904100001375</v>
      </c>
      <c r="E32" s="520">
        <v>0.6204215664429898</v>
      </c>
      <c r="F32" s="238">
        <v>1076.759121</v>
      </c>
      <c r="G32" s="238">
        <v>1736.7109906745497</v>
      </c>
      <c r="H32" s="520">
        <v>0.6199990250431823</v>
      </c>
      <c r="I32" s="519">
        <v>977852.452070019</v>
      </c>
      <c r="J32" s="520">
        <v>0.0799247741794875</v>
      </c>
      <c r="K32" s="238">
        <v>1162640.0017771174</v>
      </c>
      <c r="L32" s="210">
        <v>0.2848696280112045</v>
      </c>
      <c r="M32" s="212">
        <v>0.2765218587216694</v>
      </c>
    </row>
    <row r="33" spans="2:13" ht="12.75">
      <c r="B33" s="104"/>
      <c r="C33" s="515"/>
      <c r="D33" s="515"/>
      <c r="E33" s="516"/>
      <c r="F33" s="240"/>
      <c r="G33" s="240"/>
      <c r="H33" s="516"/>
      <c r="I33" s="515"/>
      <c r="J33" s="206"/>
      <c r="K33" s="240"/>
      <c r="L33" s="206"/>
      <c r="M33" s="258"/>
    </row>
    <row r="34" spans="1:13" ht="12.75">
      <c r="A34" s="96" t="s">
        <v>174</v>
      </c>
      <c r="B34" s="98" t="s">
        <v>60</v>
      </c>
      <c r="C34" s="509">
        <v>4502</v>
      </c>
      <c r="D34" s="509">
        <v>8377.728999999927</v>
      </c>
      <c r="E34" s="510">
        <v>0.5373771340658118</v>
      </c>
      <c r="F34" s="249">
        <v>1288.689291</v>
      </c>
      <c r="G34" s="249">
        <v>2536.775485627568</v>
      </c>
      <c r="H34" s="510">
        <v>0.5080028951325165</v>
      </c>
      <c r="I34" s="509">
        <v>5545582.041420009</v>
      </c>
      <c r="J34" s="510">
        <v>0.4846307013406972</v>
      </c>
      <c r="K34" s="249">
        <v>1883559.4249810495</v>
      </c>
      <c r="L34" s="510">
        <v>0.48461712173428084</v>
      </c>
      <c r="M34" s="255">
        <v>0.4419268328082733</v>
      </c>
    </row>
    <row r="35" spans="2:13" ht="12.75">
      <c r="B35" s="110" t="s">
        <v>61</v>
      </c>
      <c r="C35" s="515">
        <v>2130</v>
      </c>
      <c r="D35" s="515">
        <v>3281.720130000096</v>
      </c>
      <c r="E35" s="516">
        <v>0.6490498627620441</v>
      </c>
      <c r="F35" s="240">
        <v>743.407643</v>
      </c>
      <c r="G35" s="240">
        <v>1158.9418322135457</v>
      </c>
      <c r="H35" s="516">
        <v>0.6414538006451218</v>
      </c>
      <c r="I35" s="515">
        <v>2410634.3288600217</v>
      </c>
      <c r="J35" s="516">
        <v>0.2106663280329444</v>
      </c>
      <c r="K35" s="240">
        <v>934497.8820320511</v>
      </c>
      <c r="L35" s="516">
        <v>0.24043503371905056</v>
      </c>
      <c r="M35" s="207">
        <v>0.20189705246715808</v>
      </c>
    </row>
    <row r="36" spans="2:13" ht="12.75">
      <c r="B36" s="99" t="s">
        <v>62</v>
      </c>
      <c r="C36" s="519">
        <v>5567</v>
      </c>
      <c r="D36" s="519">
        <v>7160.462910000428</v>
      </c>
      <c r="E36" s="520">
        <v>0.7774637017147356</v>
      </c>
      <c r="F36" s="238">
        <v>1547.050466</v>
      </c>
      <c r="G36" s="238">
        <v>2044.5439591384848</v>
      </c>
      <c r="H36" s="520">
        <v>0.7566726355210699</v>
      </c>
      <c r="I36" s="519">
        <v>3486686.4959200276</v>
      </c>
      <c r="J36" s="520">
        <v>0.30470297062635826</v>
      </c>
      <c r="K36" s="238">
        <v>1068638.6855684803</v>
      </c>
      <c r="L36" s="520">
        <v>0.2749478445466686</v>
      </c>
      <c r="M36" s="212">
        <v>0.3561761147245687</v>
      </c>
    </row>
    <row r="37" spans="3:13" ht="12.75">
      <c r="C37" s="522"/>
      <c r="D37" s="522"/>
      <c r="E37" s="523"/>
      <c r="F37" s="264"/>
      <c r="G37" s="264"/>
      <c r="H37" s="523"/>
      <c r="I37" s="522"/>
      <c r="J37" s="265"/>
      <c r="K37" s="264"/>
      <c r="L37" s="265"/>
      <c r="M37" s="258"/>
    </row>
    <row r="38" spans="1:13" ht="12.75">
      <c r="A38" s="100" t="s">
        <v>175</v>
      </c>
      <c r="B38" s="98" t="s">
        <v>176</v>
      </c>
      <c r="C38" s="509">
        <v>1044</v>
      </c>
      <c r="D38" s="509">
        <v>1433.2042300000119</v>
      </c>
      <c r="E38" s="510">
        <v>0.72843770493197</v>
      </c>
      <c r="F38" s="249">
        <v>210.635386</v>
      </c>
      <c r="G38" s="249">
        <v>316.0159998810619</v>
      </c>
      <c r="H38" s="510">
        <v>0.6665339289127016</v>
      </c>
      <c r="I38" s="509">
        <v>497454.9085099938</v>
      </c>
      <c r="J38" s="510">
        <v>0.6282921542702664</v>
      </c>
      <c r="K38" s="249">
        <v>121812.99122529257</v>
      </c>
      <c r="L38" s="510">
        <v>0.625935207787895</v>
      </c>
      <c r="M38" s="511">
        <v>0.5848956989078383</v>
      </c>
    </row>
    <row r="39" spans="2:13" ht="12.75">
      <c r="B39" s="99" t="s">
        <v>62</v>
      </c>
      <c r="C39" s="519">
        <v>924</v>
      </c>
      <c r="D39" s="519">
        <v>966.911459999988</v>
      </c>
      <c r="E39" s="520">
        <v>0.9556200730106266</v>
      </c>
      <c r="F39" s="238">
        <v>195.872025</v>
      </c>
      <c r="G39" s="238">
        <v>224.2786209738204</v>
      </c>
      <c r="H39" s="520">
        <v>0.8733423816747284</v>
      </c>
      <c r="I39" s="519">
        <v>294302.40555000067</v>
      </c>
      <c r="J39" s="520">
        <v>0.37170784572973364</v>
      </c>
      <c r="K39" s="238">
        <v>72796.5940955099</v>
      </c>
      <c r="L39" s="520">
        <v>0.3740647922121051</v>
      </c>
      <c r="M39" s="524">
        <v>0.41510430109216173</v>
      </c>
    </row>
    <row r="40" spans="10:13" ht="12.75">
      <c r="J40" s="523"/>
      <c r="L40" s="523"/>
      <c r="M40" s="258"/>
    </row>
    <row r="41" spans="1:13" ht="12.75">
      <c r="A41" s="100" t="s">
        <v>177</v>
      </c>
      <c r="J41" s="523"/>
      <c r="L41" s="523"/>
      <c r="M41" s="508"/>
    </row>
    <row r="42" spans="2:13" ht="12.75">
      <c r="B42" s="98">
        <v>1</v>
      </c>
      <c r="C42" s="509">
        <v>3045</v>
      </c>
      <c r="D42" s="509">
        <v>5460.574970000043</v>
      </c>
      <c r="E42" s="510">
        <v>0.5576335856075566</v>
      </c>
      <c r="F42" s="249">
        <v>778.074824</v>
      </c>
      <c r="G42" s="249">
        <v>1430.9152754253996</v>
      </c>
      <c r="H42" s="510">
        <v>0.5437602333015032</v>
      </c>
      <c r="I42" s="509">
        <v>2909849.7730199746</v>
      </c>
      <c r="J42" s="510">
        <v>0.6696822429264174</v>
      </c>
      <c r="K42" s="249">
        <v>780547.7230078176</v>
      </c>
      <c r="L42" s="510">
        <v>0.6735267273707796</v>
      </c>
      <c r="M42" s="511">
        <v>0.5683075810255255</v>
      </c>
    </row>
    <row r="43" spans="2:13" ht="12.75">
      <c r="B43" s="99">
        <v>2</v>
      </c>
      <c r="C43" s="519">
        <v>3018</v>
      </c>
      <c r="D43" s="519">
        <v>4062.0497000002724</v>
      </c>
      <c r="E43" s="520">
        <v>0.7429746612897911</v>
      </c>
      <c r="F43" s="238">
        <v>814.33126</v>
      </c>
      <c r="G43" s="238">
        <v>1086.938301053866</v>
      </c>
      <c r="H43" s="520">
        <v>0.7491973180174499</v>
      </c>
      <c r="I43" s="519">
        <v>1435270.32499</v>
      </c>
      <c r="J43" s="520">
        <v>0.3303177570735826</v>
      </c>
      <c r="K43" s="238">
        <v>378348.7116664406</v>
      </c>
      <c r="L43" s="520">
        <v>0.3264732726292203</v>
      </c>
      <c r="M43" s="524">
        <v>0.4316924189744744</v>
      </c>
    </row>
    <row r="44" spans="2:13" ht="12.75">
      <c r="B44" s="100"/>
      <c r="C44" s="515"/>
      <c r="D44" s="515"/>
      <c r="E44" s="516"/>
      <c r="F44" s="240"/>
      <c r="G44" s="240"/>
      <c r="H44" s="516"/>
      <c r="I44" s="515"/>
      <c r="J44" s="516"/>
      <c r="K44" s="240"/>
      <c r="L44" s="516"/>
      <c r="M44" s="516"/>
    </row>
    <row r="45" spans="1:13" ht="12.75">
      <c r="A45" s="100" t="s">
        <v>178</v>
      </c>
      <c r="J45" s="523"/>
      <c r="L45" s="523"/>
      <c r="M45" s="508"/>
    </row>
    <row r="46" spans="2:13" ht="12.75">
      <c r="B46" s="98">
        <v>1</v>
      </c>
      <c r="C46" s="509">
        <v>1028</v>
      </c>
      <c r="D46" s="509">
        <v>2123.4277800001064</v>
      </c>
      <c r="E46" s="510">
        <v>0.48412289303286243</v>
      </c>
      <c r="F46" s="249">
        <v>357.027959</v>
      </c>
      <c r="G46" s="249">
        <v>783.2613038413482</v>
      </c>
      <c r="H46" s="510">
        <v>0.45582228720993606</v>
      </c>
      <c r="I46" s="509">
        <v>1782857.6930500164</v>
      </c>
      <c r="J46" s="510">
        <v>0.3772888105608975</v>
      </c>
      <c r="K46" s="249">
        <v>738185.3372149245</v>
      </c>
      <c r="L46" s="510">
        <v>0.40641741447186475</v>
      </c>
      <c r="M46" s="511">
        <v>0.3479232891921161</v>
      </c>
    </row>
    <row r="47" spans="2:13" ht="12.75">
      <c r="B47" s="110">
        <v>2</v>
      </c>
      <c r="C47" s="515">
        <v>1228</v>
      </c>
      <c r="D47" s="515">
        <v>2016.3128400000753</v>
      </c>
      <c r="E47" s="516">
        <v>0.609032475337485</v>
      </c>
      <c r="F47" s="240">
        <v>404.866188</v>
      </c>
      <c r="G47" s="240">
        <v>697.2838568211589</v>
      </c>
      <c r="H47" s="516">
        <v>0.5806332443228226</v>
      </c>
      <c r="I47" s="515">
        <v>1426972.3287100259</v>
      </c>
      <c r="J47" s="516">
        <v>0.3019762568269188</v>
      </c>
      <c r="K47" s="240">
        <v>543197.9081850596</v>
      </c>
      <c r="L47" s="516">
        <v>0.2990645821061886</v>
      </c>
      <c r="M47" s="525">
        <v>0.30973225892303463</v>
      </c>
    </row>
    <row r="48" spans="2:13" ht="12.75">
      <c r="B48" s="99">
        <v>3</v>
      </c>
      <c r="C48" s="519">
        <v>1901</v>
      </c>
      <c r="D48" s="519">
        <v>2437.174060000122</v>
      </c>
      <c r="E48" s="520">
        <v>0.7800017369296572</v>
      </c>
      <c r="F48" s="238">
        <v>573.108351</v>
      </c>
      <c r="G48" s="238">
        <v>770.7019624033112</v>
      </c>
      <c r="H48" s="520">
        <v>0.7436186476194415</v>
      </c>
      <c r="I48" s="519">
        <v>1515615.4278400282</v>
      </c>
      <c r="J48" s="520">
        <v>0.32073493261218355</v>
      </c>
      <c r="K48" s="238">
        <v>534939.8523053363</v>
      </c>
      <c r="L48" s="520">
        <v>0.2945180034219466</v>
      </c>
      <c r="M48" s="524">
        <v>0.3423444518848492</v>
      </c>
    </row>
    <row r="49" spans="2:13" ht="12.75">
      <c r="B49" s="100"/>
      <c r="C49" s="515"/>
      <c r="D49" s="515"/>
      <c r="E49" s="516"/>
      <c r="F49" s="240"/>
      <c r="G49" s="240"/>
      <c r="H49" s="516"/>
      <c r="I49" s="515"/>
      <c r="J49" s="516"/>
      <c r="K49" s="240"/>
      <c r="L49" s="516"/>
      <c r="M49" s="516"/>
    </row>
    <row r="50" spans="1:13" ht="12.75">
      <c r="A50" s="100" t="s">
        <v>179</v>
      </c>
      <c r="J50" s="523"/>
      <c r="L50" s="523"/>
      <c r="M50" s="508"/>
    </row>
    <row r="51" spans="2:13" ht="12.75">
      <c r="B51" s="98">
        <v>1</v>
      </c>
      <c r="C51" s="509">
        <v>429</v>
      </c>
      <c r="D51" s="509">
        <v>793.7262500000166</v>
      </c>
      <c r="E51" s="510">
        <v>0.5404886130451034</v>
      </c>
      <c r="F51" s="249">
        <v>153.586508</v>
      </c>
      <c r="G51" s="249">
        <v>322.5989063608008</v>
      </c>
      <c r="H51" s="510">
        <v>0.4760912234098708</v>
      </c>
      <c r="I51" s="509">
        <v>852874.5753500088</v>
      </c>
      <c r="J51" s="510">
        <v>0.35950813936397374</v>
      </c>
      <c r="K51" s="249">
        <v>364826.3647583016</v>
      </c>
      <c r="L51" s="510">
        <v>0.4002586799416089</v>
      </c>
      <c r="M51" s="511">
        <v>0.3321787496904087</v>
      </c>
    </row>
    <row r="52" spans="2:13" ht="12.75">
      <c r="B52" s="110">
        <v>2</v>
      </c>
      <c r="C52" s="515">
        <v>427</v>
      </c>
      <c r="D52" s="515">
        <v>605.162820000003</v>
      </c>
      <c r="E52" s="516">
        <v>0.7055952313792144</v>
      </c>
      <c r="F52" s="240">
        <v>167.058043</v>
      </c>
      <c r="G52" s="240">
        <v>232.4348094380186</v>
      </c>
      <c r="H52" s="516">
        <v>0.7187307417676092</v>
      </c>
      <c r="I52" s="515">
        <v>450000.9882999969</v>
      </c>
      <c r="J52" s="516">
        <v>0.18968676367130438</v>
      </c>
      <c r="K52" s="240">
        <v>191671.8026263809</v>
      </c>
      <c r="L52" s="516">
        <v>0.21028716702557915</v>
      </c>
      <c r="M52" s="525">
        <v>0.23933715478035872</v>
      </c>
    </row>
    <row r="53" spans="2:13" ht="12.75">
      <c r="B53" s="110">
        <v>3</v>
      </c>
      <c r="C53" s="515">
        <v>475</v>
      </c>
      <c r="D53" s="515">
        <v>660.2444700000071</v>
      </c>
      <c r="E53" s="516">
        <v>0.7194304861046316</v>
      </c>
      <c r="F53" s="240">
        <v>171.483412</v>
      </c>
      <c r="G53" s="240">
        <v>229.2231659543699</v>
      </c>
      <c r="H53" s="516">
        <v>0.7481068123548044</v>
      </c>
      <c r="I53" s="515">
        <v>533661.0118499956</v>
      </c>
      <c r="J53" s="516">
        <v>0.22495157314608943</v>
      </c>
      <c r="K53" s="240">
        <v>199628.1712206105</v>
      </c>
      <c r="L53" s="516">
        <v>0.21901626639526156</v>
      </c>
      <c r="M53" s="525">
        <v>0.2360301388673643</v>
      </c>
    </row>
    <row r="54" spans="2:13" ht="12.75">
      <c r="B54" s="99">
        <v>4</v>
      </c>
      <c r="C54" s="519">
        <v>648</v>
      </c>
      <c r="D54" s="519">
        <v>661.2391500000117</v>
      </c>
      <c r="E54" s="520">
        <v>0.9799782726113366</v>
      </c>
      <c r="F54" s="238">
        <v>159.610855</v>
      </c>
      <c r="G54" s="238">
        <v>186.90369568129023</v>
      </c>
      <c r="H54" s="520">
        <v>0.8539737773412986</v>
      </c>
      <c r="I54" s="519">
        <v>535800.7430899967</v>
      </c>
      <c r="J54" s="520">
        <v>0.22585352381863244</v>
      </c>
      <c r="K54" s="238">
        <v>155350.1215967036</v>
      </c>
      <c r="L54" s="520">
        <v>0.17043788663755038</v>
      </c>
      <c r="M54" s="524">
        <v>0.1924539566618682</v>
      </c>
    </row>
    <row r="55" spans="10:13" ht="12.75">
      <c r="J55" s="523"/>
      <c r="L55" s="523"/>
      <c r="M55" s="258"/>
    </row>
    <row r="56" spans="1:13" ht="12.75">
      <c r="A56" s="96" t="s">
        <v>207</v>
      </c>
      <c r="B56" s="98">
        <v>2006</v>
      </c>
      <c r="C56" s="509">
        <v>7272</v>
      </c>
      <c r="D56" s="509">
        <v>10650.742799998297</v>
      </c>
      <c r="E56" s="510">
        <v>0.6827692806553514</v>
      </c>
      <c r="F56" s="266">
        <v>2014.414447</v>
      </c>
      <c r="G56" s="266">
        <v>3097.5442859700643</v>
      </c>
      <c r="H56" s="510">
        <v>0.6503262781823769</v>
      </c>
      <c r="I56" s="509">
        <v>6339580.766099822</v>
      </c>
      <c r="J56" s="510">
        <v>0.5181656599117156</v>
      </c>
      <c r="K56" s="266">
        <v>2069009.6219281119</v>
      </c>
      <c r="L56" s="510">
        <v>0.5069479808447654</v>
      </c>
      <c r="M56" s="255">
        <v>0.4931958788931503</v>
      </c>
    </row>
    <row r="57" spans="2:13" ht="12.75">
      <c r="B57" s="99">
        <v>2007</v>
      </c>
      <c r="C57" s="519">
        <v>6895</v>
      </c>
      <c r="D57" s="519">
        <v>10569.284929998394</v>
      </c>
      <c r="E57" s="520">
        <v>0.6523620136713495</v>
      </c>
      <c r="F57" s="267">
        <v>1971.240364</v>
      </c>
      <c r="G57" s="267">
        <v>3183.0116118644237</v>
      </c>
      <c r="H57" s="520">
        <v>0.6193003998641908</v>
      </c>
      <c r="I57" s="519">
        <v>5895079.414159695</v>
      </c>
      <c r="J57" s="520">
        <v>0.48183434008827486</v>
      </c>
      <c r="K57" s="267">
        <v>2012295.9559742888</v>
      </c>
      <c r="L57" s="520">
        <v>0.49305201915522906</v>
      </c>
      <c r="M57" s="212">
        <v>0.5068041211068416</v>
      </c>
    </row>
    <row r="58" ht="12.75">
      <c r="M58" s="243"/>
    </row>
    <row r="59" ht="12.75">
      <c r="M59" s="243"/>
    </row>
    <row r="60" ht="12.75">
      <c r="M60" s="243"/>
    </row>
    <row r="61" ht="12.75">
      <c r="M61" s="243"/>
    </row>
    <row r="62" ht="12.75">
      <c r="M62" s="243"/>
    </row>
    <row r="63" ht="12.75">
      <c r="M63" s="243"/>
    </row>
    <row r="64" ht="12.75">
      <c r="M64" s="243"/>
    </row>
    <row r="65" ht="12.75">
      <c r="M65" s="243"/>
    </row>
    <row r="66" ht="12.75">
      <c r="M66" s="243"/>
    </row>
    <row r="67" ht="12.75">
      <c r="M67" s="243"/>
    </row>
    <row r="68" ht="12.75">
      <c r="M68" s="243"/>
    </row>
    <row r="69" ht="12.75">
      <c r="M69" s="243"/>
    </row>
    <row r="70" ht="12.75">
      <c r="M70" s="243"/>
    </row>
    <row r="71" ht="12.75">
      <c r="M71" s="243"/>
    </row>
    <row r="72" ht="12.75">
      <c r="M72" s="243"/>
    </row>
    <row r="73" ht="12.75">
      <c r="M73" s="243"/>
    </row>
    <row r="74" ht="12.75">
      <c r="M74" s="243"/>
    </row>
    <row r="75" ht="12.75">
      <c r="M75" s="243"/>
    </row>
    <row r="76" ht="12.75">
      <c r="M76" s="243"/>
    </row>
    <row r="77" ht="12.75">
      <c r="M77" s="243"/>
    </row>
    <row r="78" ht="12.75">
      <c r="M78" s="243"/>
    </row>
    <row r="79" ht="12.75">
      <c r="M79" s="243"/>
    </row>
    <row r="80" ht="12.75">
      <c r="M80" s="243"/>
    </row>
    <row r="81" ht="12.75">
      <c r="M81" s="243"/>
    </row>
    <row r="82" ht="12.75">
      <c r="M82" s="243"/>
    </row>
    <row r="83" ht="12.75">
      <c r="M83" s="243"/>
    </row>
    <row r="84" ht="12.75">
      <c r="M84" s="243"/>
    </row>
    <row r="85" ht="12.75">
      <c r="M85" s="243"/>
    </row>
    <row r="86" ht="12.75">
      <c r="M86" s="243"/>
    </row>
    <row r="87" ht="12.75">
      <c r="M87" s="243"/>
    </row>
    <row r="88" ht="12.75">
      <c r="M88" s="243"/>
    </row>
    <row r="89" ht="12.75">
      <c r="M89" s="243"/>
    </row>
    <row r="90" ht="12.75">
      <c r="M90" s="243"/>
    </row>
    <row r="91" ht="12.75">
      <c r="M91" s="243"/>
    </row>
    <row r="92" ht="12.75">
      <c r="M92" s="243"/>
    </row>
    <row r="93" ht="12.75">
      <c r="M93" s="243"/>
    </row>
    <row r="94" ht="12.75">
      <c r="M94" s="243"/>
    </row>
    <row r="95" ht="12.75">
      <c r="M95" s="243"/>
    </row>
    <row r="96" ht="12.75">
      <c r="M96" s="243"/>
    </row>
    <row r="97" ht="12.75">
      <c r="M97" s="243"/>
    </row>
    <row r="98" ht="12.75">
      <c r="M98" s="243"/>
    </row>
    <row r="99" ht="12.75">
      <c r="M99" s="243"/>
    </row>
    <row r="100" ht="12.75">
      <c r="M100" s="243"/>
    </row>
    <row r="101" ht="12.75">
      <c r="M101" s="243"/>
    </row>
    <row r="102" ht="12.75">
      <c r="M102" s="243"/>
    </row>
    <row r="103" ht="12.75">
      <c r="M103" s="243"/>
    </row>
    <row r="104" ht="12.75">
      <c r="M104" s="243"/>
    </row>
    <row r="105" ht="12.75">
      <c r="M105" s="243"/>
    </row>
    <row r="106" ht="12.75">
      <c r="M106" s="243"/>
    </row>
    <row r="107" ht="12.75">
      <c r="M107" s="243"/>
    </row>
    <row r="108" ht="12.75">
      <c r="M108" s="243"/>
    </row>
    <row r="109" ht="12.75">
      <c r="M109" s="243"/>
    </row>
    <row r="110" ht="12.75">
      <c r="M110" s="243"/>
    </row>
    <row r="111" ht="12.75">
      <c r="M111" s="243"/>
    </row>
    <row r="112" ht="12.75">
      <c r="M112" s="243"/>
    </row>
    <row r="113" ht="12.75">
      <c r="M113" s="243"/>
    </row>
    <row r="114" ht="12.75">
      <c r="M114" s="243"/>
    </row>
    <row r="115" ht="12.75">
      <c r="M115" s="243"/>
    </row>
    <row r="116" ht="12.75">
      <c r="M116" s="243"/>
    </row>
    <row r="117" ht="12.75">
      <c r="M117" s="243"/>
    </row>
    <row r="118" ht="12.75">
      <c r="M118" s="243"/>
    </row>
    <row r="119" ht="12.75">
      <c r="M119" s="243"/>
    </row>
    <row r="120" ht="12.75">
      <c r="M120" s="243"/>
    </row>
    <row r="121" ht="12.75">
      <c r="M121" s="243"/>
    </row>
    <row r="122" ht="12.75">
      <c r="M122" s="243"/>
    </row>
    <row r="123" ht="12.75">
      <c r="M123" s="243"/>
    </row>
    <row r="124" ht="12.75">
      <c r="M124" s="243"/>
    </row>
    <row r="125" ht="12.75">
      <c r="M125" s="243"/>
    </row>
    <row r="126" ht="12.75">
      <c r="M126" s="243"/>
    </row>
    <row r="127" ht="12.75">
      <c r="M127" s="243"/>
    </row>
    <row r="128" ht="12.75">
      <c r="M128" s="243"/>
    </row>
    <row r="129" ht="12.75">
      <c r="M129" s="243"/>
    </row>
    <row r="130" ht="12.75">
      <c r="M130" s="243"/>
    </row>
    <row r="131" ht="12.75">
      <c r="M131" s="243"/>
    </row>
    <row r="132" ht="12.75">
      <c r="M132" s="243"/>
    </row>
    <row r="133" ht="12.75">
      <c r="M133" s="243"/>
    </row>
    <row r="134" ht="12.75">
      <c r="M134" s="243"/>
    </row>
    <row r="135" ht="12.75">
      <c r="M135" s="243"/>
    </row>
    <row r="136" ht="12.75">
      <c r="M136" s="243"/>
    </row>
    <row r="137" ht="12.75">
      <c r="M137" s="243"/>
    </row>
    <row r="138" ht="12.75">
      <c r="M138" s="243"/>
    </row>
    <row r="139" ht="12.75">
      <c r="M139" s="243"/>
    </row>
    <row r="140" ht="12.75">
      <c r="M140" s="243"/>
    </row>
    <row r="141" ht="12.75">
      <c r="M141" s="243"/>
    </row>
    <row r="142" ht="12.75">
      <c r="M142" s="243"/>
    </row>
    <row r="143" ht="12.75">
      <c r="M143" s="243"/>
    </row>
    <row r="144" ht="12.75">
      <c r="M144" s="243"/>
    </row>
    <row r="145" ht="12.75">
      <c r="M145" s="243"/>
    </row>
    <row r="146" ht="12.75">
      <c r="M146" s="243"/>
    </row>
    <row r="147" ht="12.75">
      <c r="M147" s="243"/>
    </row>
    <row r="148" ht="12.75">
      <c r="M148" s="243"/>
    </row>
    <row r="149" ht="12.75">
      <c r="M149" s="243"/>
    </row>
    <row r="150" ht="12.75">
      <c r="M150" s="243"/>
    </row>
    <row r="151" ht="12.75">
      <c r="M151" s="243"/>
    </row>
    <row r="152" ht="12.75">
      <c r="M152" s="243"/>
    </row>
    <row r="153" ht="12.75">
      <c r="M153" s="243"/>
    </row>
    <row r="154" ht="12.75">
      <c r="M154" s="243"/>
    </row>
    <row r="155" ht="12.75">
      <c r="M155" s="243"/>
    </row>
    <row r="156" ht="12.75">
      <c r="M156" s="243"/>
    </row>
    <row r="157" ht="12.75">
      <c r="M157" s="243"/>
    </row>
    <row r="158" ht="12.75">
      <c r="M158" s="243"/>
    </row>
    <row r="159" ht="12.75">
      <c r="M159" s="243"/>
    </row>
    <row r="160" ht="12.75">
      <c r="M160" s="243"/>
    </row>
    <row r="161" ht="12.75">
      <c r="M161" s="243"/>
    </row>
    <row r="162" ht="12.75">
      <c r="M162" s="243"/>
    </row>
    <row r="163" ht="12.75">
      <c r="M163" s="243"/>
    </row>
    <row r="164" ht="12.75">
      <c r="M164" s="243"/>
    </row>
    <row r="165" ht="12.75">
      <c r="M165" s="243"/>
    </row>
    <row r="166" ht="12.75">
      <c r="M166" s="243"/>
    </row>
    <row r="167" ht="12.75">
      <c r="M167" s="243"/>
    </row>
    <row r="168" ht="12.75">
      <c r="M168" s="243"/>
    </row>
    <row r="169" ht="12.75">
      <c r="M169" s="243"/>
    </row>
    <row r="170" ht="12.75">
      <c r="M170" s="243"/>
    </row>
    <row r="171" ht="12.75">
      <c r="M171" s="243"/>
    </row>
    <row r="172" ht="12.75">
      <c r="M172" s="243"/>
    </row>
    <row r="173" ht="12.75">
      <c r="M173" s="243"/>
    </row>
    <row r="174" ht="12.75">
      <c r="M174" s="243"/>
    </row>
    <row r="175" ht="12.75">
      <c r="M175" s="243"/>
    </row>
    <row r="176" ht="12.75">
      <c r="M176" s="243"/>
    </row>
    <row r="177" ht="12.75">
      <c r="M177" s="243"/>
    </row>
    <row r="178" ht="12.75">
      <c r="M178" s="243"/>
    </row>
    <row r="179" ht="12.75">
      <c r="M179" s="243"/>
    </row>
    <row r="180" ht="12.75">
      <c r="M180" s="243"/>
    </row>
    <row r="181" ht="12.75">
      <c r="M181" s="243"/>
    </row>
    <row r="182" ht="12.75">
      <c r="M182" s="243"/>
    </row>
    <row r="183" ht="12.75">
      <c r="M183" s="243"/>
    </row>
    <row r="184" ht="12.75">
      <c r="M184" s="243"/>
    </row>
    <row r="185" ht="12.75">
      <c r="M185" s="243"/>
    </row>
    <row r="186" ht="12.75">
      <c r="M186" s="243"/>
    </row>
    <row r="187" ht="12.75">
      <c r="M187" s="243"/>
    </row>
    <row r="188" ht="12.75">
      <c r="M188" s="243"/>
    </row>
    <row r="189" ht="12.75">
      <c r="M189" s="243"/>
    </row>
    <row r="190" ht="12.75">
      <c r="M190" s="243"/>
    </row>
    <row r="191" ht="12.75">
      <c r="M191" s="243"/>
    </row>
    <row r="192" ht="12.75">
      <c r="M192" s="243"/>
    </row>
    <row r="193" ht="12.75">
      <c r="M193" s="243"/>
    </row>
    <row r="194" ht="12.75">
      <c r="M194" s="243"/>
    </row>
    <row r="195" ht="12.75">
      <c r="M195" s="243"/>
    </row>
    <row r="196" ht="12.75">
      <c r="M196" s="243"/>
    </row>
    <row r="197" ht="12.75">
      <c r="M197" s="243"/>
    </row>
    <row r="198" ht="12.75">
      <c r="M198" s="243"/>
    </row>
    <row r="199" ht="12.75">
      <c r="M199" s="243"/>
    </row>
    <row r="200" ht="12.75">
      <c r="M200" s="243"/>
    </row>
    <row r="201" ht="12.75">
      <c r="M201" s="243"/>
    </row>
    <row r="202" ht="12.75">
      <c r="M202" s="243"/>
    </row>
    <row r="203" ht="12.75">
      <c r="M203" s="243"/>
    </row>
    <row r="204" ht="12.75">
      <c r="M204" s="243"/>
    </row>
    <row r="205" ht="12.75">
      <c r="M205" s="243"/>
    </row>
    <row r="206" ht="12.75">
      <c r="M206" s="243"/>
    </row>
    <row r="207" ht="12.75">
      <c r="M207" s="243"/>
    </row>
    <row r="208" ht="12.75">
      <c r="M208" s="243"/>
    </row>
    <row r="209" ht="12.75">
      <c r="M209" s="243"/>
    </row>
    <row r="210" ht="12.75">
      <c r="M210" s="243"/>
    </row>
    <row r="211" ht="12.75">
      <c r="M211" s="243"/>
    </row>
    <row r="212" ht="12.75">
      <c r="M212" s="243"/>
    </row>
    <row r="213" ht="12.75">
      <c r="M213" s="243"/>
    </row>
    <row r="214" ht="12.75">
      <c r="M214" s="243"/>
    </row>
    <row r="215" ht="12.75">
      <c r="M215" s="243"/>
    </row>
    <row r="216" ht="12.75">
      <c r="M216" s="243"/>
    </row>
    <row r="217" ht="12.75">
      <c r="M217" s="243"/>
    </row>
    <row r="218" ht="12.75">
      <c r="M218" s="243"/>
    </row>
    <row r="219" ht="12.75">
      <c r="M219" s="243"/>
    </row>
    <row r="220" ht="12.75">
      <c r="M220" s="243"/>
    </row>
    <row r="221" ht="12.75">
      <c r="M221" s="243"/>
    </row>
    <row r="222" ht="12.75">
      <c r="M222" s="243"/>
    </row>
    <row r="223" ht="12.75">
      <c r="M223" s="243"/>
    </row>
    <row r="224" ht="12.75">
      <c r="M224" s="243"/>
    </row>
    <row r="225" ht="12.75">
      <c r="M225" s="243"/>
    </row>
    <row r="226" ht="12.75">
      <c r="M226" s="243"/>
    </row>
    <row r="227" ht="12.75">
      <c r="M227" s="243"/>
    </row>
    <row r="228" ht="12.75">
      <c r="M228" s="243"/>
    </row>
    <row r="229" ht="12.75">
      <c r="M229" s="243"/>
    </row>
    <row r="230" ht="12.75">
      <c r="M230" s="243"/>
    </row>
    <row r="231" ht="12.75">
      <c r="M231" s="243"/>
    </row>
    <row r="232" ht="12.75">
      <c r="M232" s="243"/>
    </row>
    <row r="233" ht="12.75">
      <c r="M233" s="243"/>
    </row>
    <row r="234" ht="12.75">
      <c r="M234" s="243"/>
    </row>
    <row r="235" ht="12.75">
      <c r="M235" s="243"/>
    </row>
    <row r="236" ht="12.75">
      <c r="M236" s="243"/>
    </row>
    <row r="237" ht="12.75">
      <c r="M237" s="243"/>
    </row>
  </sheetData>
  <sheetProtection/>
  <mergeCells count="6">
    <mergeCell ref="B1:M1"/>
    <mergeCell ref="B2:M2"/>
    <mergeCell ref="B3:M3"/>
    <mergeCell ref="B4:M4"/>
    <mergeCell ref="B5:M5"/>
    <mergeCell ref="A6:AB6"/>
  </mergeCells>
  <printOptions/>
  <pageMargins left="0.75" right="0.75" top="1" bottom="1" header="0.5" footer="0.5"/>
  <pageSetup horizontalDpi="600" verticalDpi="600" orientation="landscape" scale="60" r:id="rId1"/>
  <headerFooter alignWithMargins="0">
    <oddFooter>&amp;L"&amp;F"&amp;R&amp;"Arial,Italic"&amp;A</oddFooter>
  </headerFooter>
</worksheet>
</file>

<file path=xl/worksheets/sheet15.xml><?xml version="1.0" encoding="utf-8"?>
<worksheet xmlns="http://schemas.openxmlformats.org/spreadsheetml/2006/main" xmlns:r="http://schemas.openxmlformats.org/officeDocument/2006/relationships">
  <dimension ref="A1:AB237"/>
  <sheetViews>
    <sheetView zoomScale="85" zoomScaleNormal="85" zoomScaleSheetLayoutView="85" zoomScalePageLayoutView="0" workbookViewId="0" topLeftCell="A1">
      <selection activeCell="K8" sqref="K8"/>
    </sheetView>
  </sheetViews>
  <sheetFormatPr defaultColWidth="9.140625" defaultRowHeight="12.75"/>
  <cols>
    <col min="1" max="1" width="17.57421875" style="96" customWidth="1"/>
    <col min="2" max="2" width="21.28125" style="269" bestFit="1" customWidth="1"/>
    <col min="3" max="3" width="13.7109375" style="269" bestFit="1" customWidth="1"/>
    <col min="4" max="4" width="13.57421875" style="269" customWidth="1"/>
    <col min="5" max="5" width="10.8515625" style="269" customWidth="1"/>
    <col min="6" max="7" width="13.57421875" style="270" customWidth="1"/>
    <col min="8" max="8" width="10.8515625" style="269" customWidth="1"/>
    <col min="9" max="9" width="14.421875" style="269" customWidth="1"/>
    <col min="10" max="10" width="11.421875" style="269" customWidth="1"/>
    <col min="11" max="11" width="15.8515625" style="270" customWidth="1"/>
    <col min="12" max="12" width="11.57421875" style="269" customWidth="1"/>
    <col min="13" max="13" width="12.00390625" style="271" customWidth="1"/>
    <col min="14" max="15" width="9.140625" style="268" customWidth="1"/>
    <col min="16" max="16" width="10.00390625" style="268" bestFit="1" customWidth="1"/>
    <col min="17" max="17" width="12.140625" style="268" bestFit="1" customWidth="1"/>
    <col min="18" max="19" width="10.00390625" style="268" bestFit="1" customWidth="1"/>
    <col min="20" max="20" width="13.8515625" style="268" bestFit="1" customWidth="1"/>
    <col min="21" max="21" width="9.140625" style="268" customWidth="1"/>
    <col min="22" max="22" width="12.7109375" style="268" bestFit="1" customWidth="1"/>
    <col min="23" max="25" width="9.140625" style="268" customWidth="1"/>
    <col min="26" max="26" width="10.00390625" style="268" bestFit="1" customWidth="1"/>
    <col min="27" max="16384" width="9.140625" style="268" customWidth="1"/>
  </cols>
  <sheetData>
    <row r="1" spans="2:13" ht="21.75" customHeight="1">
      <c r="B1" s="687" t="s">
        <v>169</v>
      </c>
      <c r="C1" s="687"/>
      <c r="D1" s="687"/>
      <c r="E1" s="687"/>
      <c r="F1" s="687"/>
      <c r="G1" s="687"/>
      <c r="H1" s="687"/>
      <c r="I1" s="687"/>
      <c r="J1" s="687"/>
      <c r="K1" s="687"/>
      <c r="L1" s="687"/>
      <c r="M1" s="687"/>
    </row>
    <row r="2" spans="2:13" ht="18">
      <c r="B2" s="688" t="s">
        <v>80</v>
      </c>
      <c r="C2" s="688"/>
      <c r="D2" s="688"/>
      <c r="E2" s="688"/>
      <c r="F2" s="688"/>
      <c r="G2" s="688"/>
      <c r="H2" s="688"/>
      <c r="I2" s="688"/>
      <c r="J2" s="688"/>
      <c r="K2" s="688"/>
      <c r="L2" s="688"/>
      <c r="M2" s="688"/>
    </row>
    <row r="3" spans="2:13" ht="15.75">
      <c r="B3" s="689" t="s">
        <v>180</v>
      </c>
      <c r="C3" s="689"/>
      <c r="D3" s="689"/>
      <c r="E3" s="689"/>
      <c r="F3" s="689"/>
      <c r="G3" s="689"/>
      <c r="H3" s="689"/>
      <c r="I3" s="689"/>
      <c r="J3" s="689"/>
      <c r="K3" s="689"/>
      <c r="L3" s="689"/>
      <c r="M3" s="689"/>
    </row>
    <row r="4" spans="2:13" ht="14.25" customHeight="1">
      <c r="B4" s="690" t="s">
        <v>171</v>
      </c>
      <c r="C4" s="690"/>
      <c r="D4" s="690"/>
      <c r="E4" s="690"/>
      <c r="F4" s="690"/>
      <c r="G4" s="690"/>
      <c r="H4" s="690"/>
      <c r="I4" s="690"/>
      <c r="J4" s="690"/>
      <c r="K4" s="690"/>
      <c r="L4" s="690"/>
      <c r="M4" s="690"/>
    </row>
    <row r="5" spans="2:13" ht="12.75">
      <c r="B5" s="691" t="s">
        <v>181</v>
      </c>
      <c r="C5" s="691"/>
      <c r="D5" s="691"/>
      <c r="E5" s="691"/>
      <c r="F5" s="691"/>
      <c r="G5" s="691"/>
      <c r="H5" s="691"/>
      <c r="I5" s="691"/>
      <c r="J5" s="691"/>
      <c r="K5" s="691"/>
      <c r="L5" s="691"/>
      <c r="M5" s="691"/>
    </row>
    <row r="6" spans="1:28" ht="7.5" customHeight="1">
      <c r="A6" s="691"/>
      <c r="B6" s="691"/>
      <c r="C6" s="691"/>
      <c r="D6" s="691"/>
      <c r="E6" s="691"/>
      <c r="F6" s="691"/>
      <c r="G6" s="691"/>
      <c r="H6" s="691"/>
      <c r="I6" s="691"/>
      <c r="J6" s="691"/>
      <c r="K6" s="691"/>
      <c r="L6" s="691"/>
      <c r="M6" s="691"/>
      <c r="N6" s="691"/>
      <c r="O6" s="691"/>
      <c r="P6" s="691"/>
      <c r="Q6" s="691"/>
      <c r="R6" s="691"/>
      <c r="S6" s="691"/>
      <c r="T6" s="691"/>
      <c r="U6" s="691"/>
      <c r="V6" s="691"/>
      <c r="W6" s="691"/>
      <c r="X6" s="691"/>
      <c r="Y6" s="691"/>
      <c r="Z6" s="691"/>
      <c r="AA6" s="691"/>
      <c r="AB6" s="691"/>
    </row>
    <row r="7" spans="3:13" ht="39" customHeight="1">
      <c r="C7" s="272" t="s">
        <v>2</v>
      </c>
      <c r="D7" s="272" t="s">
        <v>3</v>
      </c>
      <c r="E7" s="224" t="s">
        <v>257</v>
      </c>
      <c r="F7" s="273" t="s">
        <v>4</v>
      </c>
      <c r="G7" s="273" t="s">
        <v>5</v>
      </c>
      <c r="H7" s="224" t="s">
        <v>70</v>
      </c>
      <c r="I7" s="272" t="s">
        <v>273</v>
      </c>
      <c r="J7" s="272" t="s">
        <v>7</v>
      </c>
      <c r="K7" s="273" t="s">
        <v>261</v>
      </c>
      <c r="L7" s="226" t="s">
        <v>8</v>
      </c>
      <c r="M7" s="97" t="s">
        <v>9</v>
      </c>
    </row>
    <row r="8" spans="1:13" ht="12.75">
      <c r="A8" s="96" t="s">
        <v>10</v>
      </c>
      <c r="B8" s="274"/>
      <c r="C8" s="503">
        <f>SUM(C10:C11)</f>
        <v>9917</v>
      </c>
      <c r="D8" s="503">
        <f>SUM(D10:D11)</f>
        <v>15236.548919999403</v>
      </c>
      <c r="E8" s="504">
        <f>C8/D8</f>
        <v>0.6508691733324864</v>
      </c>
      <c r="F8" s="32">
        <f>SUM(F10:F11)</f>
        <v>2757.510771</v>
      </c>
      <c r="G8" s="32">
        <f>SUM(G10:G11)</f>
        <v>4453.625273899959</v>
      </c>
      <c r="H8" s="504">
        <f>F8/G8</f>
        <v>0.6191609310195283</v>
      </c>
      <c r="I8" s="503">
        <f>SUM(I10:I11)</f>
        <v>8536604.482989922</v>
      </c>
      <c r="J8" s="504">
        <v>1</v>
      </c>
      <c r="K8" s="32">
        <f>SUM(K10:K11)</f>
        <v>2845403.350857319</v>
      </c>
      <c r="L8" s="34">
        <v>1</v>
      </c>
      <c r="M8" s="505">
        <v>1</v>
      </c>
    </row>
    <row r="9" spans="3:13" ht="12.75">
      <c r="C9" s="272"/>
      <c r="D9" s="272"/>
      <c r="E9" s="506"/>
      <c r="F9" s="230"/>
      <c r="G9" s="230"/>
      <c r="H9" s="506"/>
      <c r="I9" s="507"/>
      <c r="J9" s="506"/>
      <c r="K9" s="230"/>
      <c r="L9" s="506"/>
      <c r="M9" s="508"/>
    </row>
    <row r="10" spans="1:13" ht="12.75">
      <c r="A10" s="96" t="s">
        <v>25</v>
      </c>
      <c r="B10" s="98" t="s">
        <v>27</v>
      </c>
      <c r="C10" s="509">
        <v>6961</v>
      </c>
      <c r="D10" s="509">
        <v>10645.45718999934</v>
      </c>
      <c r="E10" s="510">
        <f>C10/D10</f>
        <v>0.6538939451599477</v>
      </c>
      <c r="F10" s="249">
        <v>2027.187343</v>
      </c>
      <c r="G10" s="249">
        <v>3345.9628264212697</v>
      </c>
      <c r="H10" s="510">
        <f>F10/G10</f>
        <v>0.6058606888852415</v>
      </c>
      <c r="I10" s="509">
        <v>5094295.959919919</v>
      </c>
      <c r="J10" s="529">
        <v>0.5967590474726648</v>
      </c>
      <c r="K10" s="249">
        <v>1935108.57362316</v>
      </c>
      <c r="L10" s="510">
        <f>+K10/$K$8</f>
        <v>0.6800823415914347</v>
      </c>
      <c r="M10" s="511">
        <f>+G10/$G$8</f>
        <v>0.7512897068439865</v>
      </c>
    </row>
    <row r="11" spans="1:13" ht="12.75">
      <c r="A11" s="268"/>
      <c r="B11" s="99" t="s">
        <v>26</v>
      </c>
      <c r="C11" s="512">
        <v>2956</v>
      </c>
      <c r="D11" s="512">
        <v>4591.091730000062</v>
      </c>
      <c r="E11" s="513">
        <f>C11/D11</f>
        <v>0.6438555737591329</v>
      </c>
      <c r="F11" s="238">
        <v>730.323428</v>
      </c>
      <c r="G11" s="238">
        <v>1107.66244747869</v>
      </c>
      <c r="H11" s="513">
        <f>F11/G11</f>
        <v>0.6593375352413494</v>
      </c>
      <c r="I11" s="512">
        <v>3442308.523070003</v>
      </c>
      <c r="J11" s="530">
        <v>0.40324095252733516</v>
      </c>
      <c r="K11" s="238">
        <v>910294.7772341591</v>
      </c>
      <c r="L11" s="513">
        <f>+K11/$K$8</f>
        <v>0.3199176584085654</v>
      </c>
      <c r="M11" s="514">
        <f>+G11/$G$8</f>
        <v>0.24871029315601353</v>
      </c>
    </row>
    <row r="12" spans="2:13" ht="12.75">
      <c r="B12" s="100"/>
      <c r="C12" s="515"/>
      <c r="D12" s="515"/>
      <c r="E12" s="516"/>
      <c r="F12" s="240"/>
      <c r="G12" s="240"/>
      <c r="H12" s="516"/>
      <c r="I12" s="517"/>
      <c r="J12" s="516"/>
      <c r="K12" s="240"/>
      <c r="L12" s="206"/>
      <c r="M12" s="258"/>
    </row>
    <row r="13" spans="1:13" ht="12.75">
      <c r="A13" s="96" t="s">
        <v>11</v>
      </c>
      <c r="B13" s="101" t="s">
        <v>17</v>
      </c>
      <c r="C13" s="509">
        <v>335</v>
      </c>
      <c r="D13" s="509">
        <v>506.85577000000126</v>
      </c>
      <c r="E13" s="518">
        <f>C13/D13</f>
        <v>0.6609375286385695</v>
      </c>
      <c r="F13" s="249">
        <v>74.824567</v>
      </c>
      <c r="G13" s="249">
        <v>121.68844829786026</v>
      </c>
      <c r="H13" s="518">
        <f>F13/G13</f>
        <v>0.6148863597705658</v>
      </c>
      <c r="I13" s="509">
        <v>976581.545320006</v>
      </c>
      <c r="J13" s="518">
        <f>I13/$I$8</f>
        <v>0.11439929626187402</v>
      </c>
      <c r="K13" s="249">
        <v>258302.40390858692</v>
      </c>
      <c r="L13" s="518">
        <f aca="true" t="shared" si="0" ref="L13:L20">+K13/$K$8</f>
        <v>0.09077883591820489</v>
      </c>
      <c r="M13" s="526">
        <f aca="true" t="shared" si="1" ref="M13:M20">+G13/$G$8</f>
        <v>0.027323459162809153</v>
      </c>
    </row>
    <row r="14" spans="2:13" ht="12.75">
      <c r="B14" s="102" t="s">
        <v>18</v>
      </c>
      <c r="C14" s="251">
        <v>710</v>
      </c>
      <c r="D14" s="251">
        <v>1062.9023500000126</v>
      </c>
      <c r="E14" s="206">
        <f aca="true" t="shared" si="2" ref="E14:E57">C14/D14</f>
        <v>0.6679823409930288</v>
      </c>
      <c r="F14" s="240">
        <v>204.33248799999998</v>
      </c>
      <c r="G14" s="240">
        <v>313.916658169982</v>
      </c>
      <c r="H14" s="206">
        <f aca="true" t="shared" si="3" ref="H14:H57">F14/G14</f>
        <v>0.6509131729140556</v>
      </c>
      <c r="I14" s="251">
        <v>1632392.7874900005</v>
      </c>
      <c r="J14" s="516">
        <f aca="true" t="shared" si="4" ref="J14:J20">I14/$I$8</f>
        <v>0.19122272687492012</v>
      </c>
      <c r="K14" s="240">
        <v>549156.3354860249</v>
      </c>
      <c r="L14" s="516">
        <f t="shared" si="0"/>
        <v>0.19299771166733332</v>
      </c>
      <c r="M14" s="207">
        <f t="shared" si="1"/>
        <v>0.07048564683015884</v>
      </c>
    </row>
    <row r="15" spans="2:13" ht="12.75">
      <c r="B15" s="102" t="s">
        <v>19</v>
      </c>
      <c r="C15" s="251">
        <v>999</v>
      </c>
      <c r="D15" s="251">
        <v>1606.2476999999892</v>
      </c>
      <c r="E15" s="206">
        <f t="shared" si="2"/>
        <v>0.6219464158610198</v>
      </c>
      <c r="F15" s="240">
        <v>282.5381</v>
      </c>
      <c r="G15" s="240">
        <v>505.93752410922855</v>
      </c>
      <c r="H15" s="206">
        <f t="shared" si="3"/>
        <v>0.5584446429377748</v>
      </c>
      <c r="I15" s="251">
        <v>1765731.7129400072</v>
      </c>
      <c r="J15" s="516">
        <f t="shared" si="4"/>
        <v>0.20684239459124673</v>
      </c>
      <c r="K15" s="240">
        <v>648107.9087801401</v>
      </c>
      <c r="L15" s="516">
        <f t="shared" si="0"/>
        <v>0.22777365064424537</v>
      </c>
      <c r="M15" s="207">
        <f t="shared" si="1"/>
        <v>0.11360127828316104</v>
      </c>
    </row>
    <row r="16" spans="2:13" ht="12.75">
      <c r="B16" s="102" t="s">
        <v>20</v>
      </c>
      <c r="C16" s="251">
        <v>2672</v>
      </c>
      <c r="D16" s="251">
        <v>4378.888210000049</v>
      </c>
      <c r="E16" s="206">
        <f t="shared" si="2"/>
        <v>0.6102005513403983</v>
      </c>
      <c r="F16" s="240">
        <v>783.249284</v>
      </c>
      <c r="G16" s="240">
        <v>1320.1380416109764</v>
      </c>
      <c r="H16" s="516">
        <f t="shared" si="3"/>
        <v>0.5933086232741189</v>
      </c>
      <c r="I16" s="251">
        <v>2600501.349130014</v>
      </c>
      <c r="J16" s="516">
        <f t="shared" si="4"/>
        <v>0.30462947584274114</v>
      </c>
      <c r="K16" s="240">
        <v>908601.8167948035</v>
      </c>
      <c r="L16" s="516">
        <f t="shared" si="0"/>
        <v>0.3193226775813848</v>
      </c>
      <c r="M16" s="207">
        <f t="shared" si="1"/>
        <v>0.29641875111215976</v>
      </c>
    </row>
    <row r="17" spans="2:13" ht="12.75">
      <c r="B17" s="102" t="s">
        <v>21</v>
      </c>
      <c r="C17" s="251">
        <v>2649</v>
      </c>
      <c r="D17" s="251">
        <v>4295.3362000000725</v>
      </c>
      <c r="E17" s="206">
        <f t="shared" si="2"/>
        <v>0.6167154040235443</v>
      </c>
      <c r="F17" s="240">
        <v>693.007802</v>
      </c>
      <c r="G17" s="240">
        <v>1204.80898174394</v>
      </c>
      <c r="H17" s="516">
        <f t="shared" si="3"/>
        <v>0.5752013908436201</v>
      </c>
      <c r="I17" s="251">
        <v>1222445.490859997</v>
      </c>
      <c r="J17" s="516">
        <f t="shared" si="4"/>
        <v>0.1432004368125345</v>
      </c>
      <c r="K17" s="240">
        <v>381644.5934816346</v>
      </c>
      <c r="L17" s="516">
        <f t="shared" si="0"/>
        <v>0.13412671119777983</v>
      </c>
      <c r="M17" s="207">
        <f t="shared" si="1"/>
        <v>0.27052320472595814</v>
      </c>
    </row>
    <row r="18" spans="2:13" ht="12.75">
      <c r="B18" s="102" t="s">
        <v>22</v>
      </c>
      <c r="C18" s="251">
        <v>1692</v>
      </c>
      <c r="D18" s="251">
        <v>2267.154239999991</v>
      </c>
      <c r="E18" s="206">
        <f t="shared" si="2"/>
        <v>0.7463100525529337</v>
      </c>
      <c r="F18" s="240">
        <v>424.26576</v>
      </c>
      <c r="G18" s="240">
        <v>588.55024419074</v>
      </c>
      <c r="H18" s="516">
        <f t="shared" si="3"/>
        <v>0.7208658295323076</v>
      </c>
      <c r="I18" s="251">
        <v>290704.9620400001</v>
      </c>
      <c r="J18" s="516">
        <f t="shared" si="4"/>
        <v>0.034053933577367926</v>
      </c>
      <c r="K18" s="240">
        <v>82635.87743219474</v>
      </c>
      <c r="L18" s="516">
        <f t="shared" si="0"/>
        <v>0.029041885189070502</v>
      </c>
      <c r="M18" s="207">
        <f t="shared" si="1"/>
        <v>0.1321508227555385</v>
      </c>
    </row>
    <row r="19" spans="2:13" ht="12.75">
      <c r="B19" s="102" t="s">
        <v>23</v>
      </c>
      <c r="C19" s="251">
        <v>652</v>
      </c>
      <c r="D19" s="251">
        <v>838.6319700000014</v>
      </c>
      <c r="E19" s="206">
        <f t="shared" si="2"/>
        <v>0.7774566476400833</v>
      </c>
      <c r="F19" s="240">
        <v>196.62331</v>
      </c>
      <c r="G19" s="240">
        <v>267.57027932344033</v>
      </c>
      <c r="H19" s="516">
        <f t="shared" si="3"/>
        <v>0.7348473473853975</v>
      </c>
      <c r="I19" s="251">
        <v>42284.80785</v>
      </c>
      <c r="J19" s="516">
        <f t="shared" si="4"/>
        <v>0.004953352112570859</v>
      </c>
      <c r="K19" s="240">
        <v>13991.47040777365</v>
      </c>
      <c r="L19" s="516">
        <f t="shared" si="0"/>
        <v>0.004917218644435077</v>
      </c>
      <c r="M19" s="207">
        <f t="shared" si="1"/>
        <v>0.06007920803115388</v>
      </c>
    </row>
    <row r="20" spans="2:13" ht="12.75">
      <c r="B20" s="103" t="s">
        <v>24</v>
      </c>
      <c r="C20" s="519">
        <v>208</v>
      </c>
      <c r="D20" s="519">
        <v>280.53248</v>
      </c>
      <c r="E20" s="210">
        <f t="shared" si="2"/>
        <v>0.7414471222726152</v>
      </c>
      <c r="F20" s="238">
        <v>98.66946</v>
      </c>
      <c r="G20" s="238">
        <v>131.01509645382006</v>
      </c>
      <c r="H20" s="520">
        <f t="shared" si="3"/>
        <v>0.7531151956582256</v>
      </c>
      <c r="I20" s="519">
        <v>5961.827359999998</v>
      </c>
      <c r="J20" s="520">
        <f t="shared" si="4"/>
        <v>0.0006983839267567758</v>
      </c>
      <c r="K20" s="238">
        <v>2962.9445661548502</v>
      </c>
      <c r="L20" s="210">
        <f t="shared" si="0"/>
        <v>0.0010413091575442604</v>
      </c>
      <c r="M20" s="212">
        <f t="shared" si="1"/>
        <v>0.029417629099067085</v>
      </c>
    </row>
    <row r="21" spans="2:14" ht="12.75">
      <c r="B21" s="104"/>
      <c r="C21" s="515"/>
      <c r="D21" s="515"/>
      <c r="E21" s="206"/>
      <c r="F21" s="240"/>
      <c r="G21" s="240"/>
      <c r="H21" s="516"/>
      <c r="I21" s="515"/>
      <c r="J21" s="516"/>
      <c r="K21" s="240"/>
      <c r="L21" s="206"/>
      <c r="M21" s="206"/>
      <c r="N21" s="269"/>
    </row>
    <row r="22" spans="1:22" ht="12.75">
      <c r="A22" s="96" t="s">
        <v>28</v>
      </c>
      <c r="B22" s="105">
        <v>1</v>
      </c>
      <c r="C22" s="527">
        <v>379</v>
      </c>
      <c r="D22" s="527">
        <v>643.9638500000048</v>
      </c>
      <c r="E22" s="518">
        <f t="shared" si="2"/>
        <v>0.5885423537361565</v>
      </c>
      <c r="F22" s="249">
        <v>148.634078</v>
      </c>
      <c r="G22" s="249">
        <v>271.59754909268963</v>
      </c>
      <c r="H22" s="518">
        <f t="shared" si="3"/>
        <v>0.5472585393223662</v>
      </c>
      <c r="I22" s="527">
        <v>989375.5377100027</v>
      </c>
      <c r="J22" s="518">
        <f>I22/$I$8</f>
        <v>0.11589801772841146</v>
      </c>
      <c r="K22" s="249">
        <v>435400.4026631021</v>
      </c>
      <c r="L22" s="518">
        <f aca="true" t="shared" si="5" ref="L22:L27">+K22/$K$8</f>
        <v>0.1530188690232322</v>
      </c>
      <c r="M22" s="526">
        <f aca="true" t="shared" si="6" ref="M22:M27">+G22/$G$8</f>
        <v>0.06098347579540669</v>
      </c>
      <c r="N22" s="269"/>
      <c r="O22" s="528"/>
      <c r="P22" s="528"/>
      <c r="Q22" s="528"/>
      <c r="V22" s="437"/>
    </row>
    <row r="23" spans="2:22" ht="12.75">
      <c r="B23" s="106">
        <v>2</v>
      </c>
      <c r="C23" s="251">
        <v>607</v>
      </c>
      <c r="D23" s="251">
        <v>981.9076000000045</v>
      </c>
      <c r="E23" s="206">
        <f t="shared" si="2"/>
        <v>0.6181844401652429</v>
      </c>
      <c r="F23" s="240">
        <v>211.252341</v>
      </c>
      <c r="G23" s="240">
        <v>388.16354016413237</v>
      </c>
      <c r="H23" s="206">
        <f t="shared" si="3"/>
        <v>0.5442354037441882</v>
      </c>
      <c r="I23" s="251">
        <v>1038004.9128900067</v>
      </c>
      <c r="J23" s="206">
        <f aca="true" t="shared" si="7" ref="J23:J32">I23/$I$8</f>
        <v>0.12159458892096267</v>
      </c>
      <c r="K23" s="240">
        <v>430070.91704938863</v>
      </c>
      <c r="L23" s="516">
        <f t="shared" si="5"/>
        <v>0.15114585315990733</v>
      </c>
      <c r="M23" s="207">
        <f t="shared" si="6"/>
        <v>0.08715675798745963</v>
      </c>
      <c r="O23" s="528"/>
      <c r="P23" s="528"/>
      <c r="Q23" s="528"/>
      <c r="V23" s="437"/>
    </row>
    <row r="24" spans="2:22" ht="12.75">
      <c r="B24" s="106">
        <v>3</v>
      </c>
      <c r="C24" s="251">
        <v>978</v>
      </c>
      <c r="D24" s="251">
        <v>1309.2464500000115</v>
      </c>
      <c r="E24" s="206">
        <f t="shared" si="2"/>
        <v>0.746994578446244</v>
      </c>
      <c r="F24" s="240">
        <v>337.91668599999997</v>
      </c>
      <c r="G24" s="240">
        <v>487.0584149908884</v>
      </c>
      <c r="H24" s="206">
        <f t="shared" si="3"/>
        <v>0.6937908792856428</v>
      </c>
      <c r="I24" s="251">
        <v>1082574.204150009</v>
      </c>
      <c r="J24" s="206">
        <f t="shared" si="7"/>
        <v>0.1268155513479805</v>
      </c>
      <c r="K24" s="240">
        <v>425404.8573058403</v>
      </c>
      <c r="L24" s="516">
        <f t="shared" si="5"/>
        <v>0.14950599435319636</v>
      </c>
      <c r="M24" s="207">
        <f t="shared" si="6"/>
        <v>0.1093622352660084</v>
      </c>
      <c r="O24" s="528"/>
      <c r="P24" s="528"/>
      <c r="Q24" s="528"/>
      <c r="V24" s="437"/>
    </row>
    <row r="25" spans="2:13" ht="12.75">
      <c r="B25" s="107" t="s">
        <v>32</v>
      </c>
      <c r="C25" s="251">
        <v>2161</v>
      </c>
      <c r="D25" s="251">
        <v>3059.2100000001274</v>
      </c>
      <c r="E25" s="206">
        <f t="shared" si="2"/>
        <v>0.7063915193791567</v>
      </c>
      <c r="F25" s="240">
        <v>655.159278</v>
      </c>
      <c r="G25" s="240">
        <v>990.8158226969049</v>
      </c>
      <c r="H25" s="206">
        <f t="shared" si="3"/>
        <v>0.661232151316195</v>
      </c>
      <c r="I25" s="251">
        <v>2035112.419060011</v>
      </c>
      <c r="J25" s="206">
        <f t="shared" si="7"/>
        <v>0.23839834949776406</v>
      </c>
      <c r="K25" s="240">
        <v>683835.6954020376</v>
      </c>
      <c r="L25" s="516">
        <f t="shared" si="5"/>
        <v>0.24032996769895493</v>
      </c>
      <c r="M25" s="207">
        <f t="shared" si="6"/>
        <v>0.2224739985430488</v>
      </c>
    </row>
    <row r="26" spans="2:20" ht="12.75">
      <c r="B26" s="108" t="s">
        <v>33</v>
      </c>
      <c r="C26" s="251">
        <v>4133</v>
      </c>
      <c r="D26" s="251">
        <v>6594.308569999934</v>
      </c>
      <c r="E26" s="206">
        <f t="shared" si="2"/>
        <v>0.6267525937143159</v>
      </c>
      <c r="F26" s="240">
        <v>1070.908651</v>
      </c>
      <c r="G26" s="240">
        <v>1790.8729679531646</v>
      </c>
      <c r="H26" s="206">
        <f t="shared" si="3"/>
        <v>0.5979813589034009</v>
      </c>
      <c r="I26" s="251">
        <v>2704628.918840001</v>
      </c>
      <c r="J26" s="206">
        <f t="shared" si="7"/>
        <v>0.3168272495497779</v>
      </c>
      <c r="K26" s="240">
        <v>743289.482380236</v>
      </c>
      <c r="L26" s="516">
        <f t="shared" si="5"/>
        <v>0.26122464576288745</v>
      </c>
      <c r="M26" s="207">
        <f t="shared" si="6"/>
        <v>0.40211577261526754</v>
      </c>
      <c r="O26" s="528"/>
      <c r="P26" s="528"/>
      <c r="Q26" s="528"/>
      <c r="T26" s="528"/>
    </row>
    <row r="27" spans="2:22" ht="12.75">
      <c r="B27" s="109" t="s">
        <v>34</v>
      </c>
      <c r="C27" s="521">
        <v>1659</v>
      </c>
      <c r="D27" s="521">
        <v>2647.9124500000207</v>
      </c>
      <c r="E27" s="210">
        <f t="shared" si="2"/>
        <v>0.6265312888271616</v>
      </c>
      <c r="F27" s="238">
        <v>333.63973699999997</v>
      </c>
      <c r="G27" s="238">
        <v>525.1169790022007</v>
      </c>
      <c r="H27" s="520">
        <f t="shared" si="3"/>
        <v>0.6353626912501752</v>
      </c>
      <c r="I27" s="521">
        <v>686908.4903399994</v>
      </c>
      <c r="J27" s="210">
        <f t="shared" si="7"/>
        <v>0.080466242955116</v>
      </c>
      <c r="K27" s="238">
        <v>127401.99605670897</v>
      </c>
      <c r="L27" s="520">
        <f t="shared" si="5"/>
        <v>0.04477467000181989</v>
      </c>
      <c r="M27" s="212">
        <f t="shared" si="6"/>
        <v>0.11790775979281373</v>
      </c>
      <c r="O27" s="528"/>
      <c r="P27" s="528"/>
      <c r="Q27" s="528"/>
      <c r="V27" s="528"/>
    </row>
    <row r="28" spans="2:22" ht="12.75">
      <c r="B28" s="104"/>
      <c r="C28" s="515"/>
      <c r="D28" s="515"/>
      <c r="E28" s="516"/>
      <c r="F28" s="240"/>
      <c r="G28" s="240"/>
      <c r="H28" s="516"/>
      <c r="I28" s="515"/>
      <c r="J28" s="206"/>
      <c r="K28" s="240"/>
      <c r="L28" s="206"/>
      <c r="M28" s="258"/>
      <c r="O28" s="528"/>
      <c r="P28" s="528"/>
      <c r="Q28" s="528"/>
      <c r="V28" s="528"/>
    </row>
    <row r="29" spans="1:22" ht="12.75">
      <c r="A29" s="96" t="s">
        <v>59</v>
      </c>
      <c r="B29" s="101" t="s">
        <v>42</v>
      </c>
      <c r="C29" s="527">
        <v>5784</v>
      </c>
      <c r="D29" s="527">
        <v>8403.668919999733</v>
      </c>
      <c r="E29" s="518">
        <f t="shared" si="2"/>
        <v>0.6882708082697985</v>
      </c>
      <c r="F29" s="249">
        <v>713.8856059999999</v>
      </c>
      <c r="G29" s="249">
        <v>1050.8760164257292</v>
      </c>
      <c r="H29" s="518">
        <f t="shared" si="3"/>
        <v>0.6793242921539774</v>
      </c>
      <c r="I29" s="527">
        <v>3652365.84535999</v>
      </c>
      <c r="J29" s="518">
        <f t="shared" si="7"/>
        <v>0.42784761231912655</v>
      </c>
      <c r="K29" s="249">
        <v>466591.5576366361</v>
      </c>
      <c r="L29" s="518">
        <f>+K29/$K$8</f>
        <v>0.1639808140016607</v>
      </c>
      <c r="M29" s="526">
        <f>+G29/$G$8</f>
        <v>0.23595968493000222</v>
      </c>
      <c r="O29" s="528"/>
      <c r="P29" s="528"/>
      <c r="Q29" s="528"/>
      <c r="V29" s="528"/>
    </row>
    <row r="30" spans="2:15" ht="12.75">
      <c r="B30" s="102" t="s">
        <v>43</v>
      </c>
      <c r="C30" s="515">
        <v>2428</v>
      </c>
      <c r="D30" s="515">
        <v>3970.7865600001323</v>
      </c>
      <c r="E30" s="516">
        <f t="shared" si="2"/>
        <v>0.6114657545330059</v>
      </c>
      <c r="F30" s="240">
        <v>692.929543</v>
      </c>
      <c r="G30" s="240">
        <v>1132.0356939089259</v>
      </c>
      <c r="H30" s="516">
        <f t="shared" si="3"/>
        <v>0.6121092706956176</v>
      </c>
      <c r="I30" s="515">
        <v>2815117.1624399996</v>
      </c>
      <c r="J30" s="516">
        <f t="shared" si="7"/>
        <v>0.3297701291010278</v>
      </c>
      <c r="K30" s="240">
        <v>791897.0163157884</v>
      </c>
      <c r="L30" s="206">
        <f>+K30/$K$8</f>
        <v>0.2783074730256398</v>
      </c>
      <c r="M30" s="207">
        <f>+G30/$G$8</f>
        <v>0.25418296876998425</v>
      </c>
      <c r="O30" s="528"/>
    </row>
    <row r="31" spans="2:22" ht="12.75">
      <c r="B31" s="102" t="s">
        <v>44</v>
      </c>
      <c r="C31" s="515">
        <v>1099</v>
      </c>
      <c r="D31" s="515">
        <v>1850.10784000005</v>
      </c>
      <c r="E31" s="516">
        <f t="shared" si="2"/>
        <v>0.5940194275377864</v>
      </c>
      <c r="F31" s="240">
        <v>607.5964389999999</v>
      </c>
      <c r="G31" s="240">
        <v>1027.721946373257</v>
      </c>
      <c r="H31" s="516">
        <f t="shared" si="3"/>
        <v>0.5912070294345235</v>
      </c>
      <c r="I31" s="515">
        <v>1373270.911610009</v>
      </c>
      <c r="J31" s="516">
        <f t="shared" si="7"/>
        <v>0.16086851796242815</v>
      </c>
      <c r="K31" s="240">
        <v>753191.9059023166</v>
      </c>
      <c r="L31" s="206">
        <f>+K31/$K$8</f>
        <v>0.2647047933205604</v>
      </c>
      <c r="M31" s="207">
        <f>+G31/$G$8</f>
        <v>0.23076075852095643</v>
      </c>
      <c r="O31" s="528"/>
      <c r="P31" s="528"/>
      <c r="Q31" s="528"/>
      <c r="V31" s="528"/>
    </row>
    <row r="32" spans="2:22" ht="12.75">
      <c r="B32" s="103" t="s">
        <v>173</v>
      </c>
      <c r="C32" s="519">
        <v>606</v>
      </c>
      <c r="D32" s="519">
        <v>1011.9856000000126</v>
      </c>
      <c r="E32" s="520">
        <f t="shared" si="2"/>
        <v>0.5988227500470288</v>
      </c>
      <c r="F32" s="238">
        <v>743.0991829999999</v>
      </c>
      <c r="G32" s="238">
        <v>1242.991617192054</v>
      </c>
      <c r="H32" s="520">
        <f t="shared" si="3"/>
        <v>0.597831210381513</v>
      </c>
      <c r="I32" s="519">
        <v>695850.5635800025</v>
      </c>
      <c r="J32" s="520">
        <f t="shared" si="7"/>
        <v>0.08151374061742671</v>
      </c>
      <c r="K32" s="238">
        <v>833722.871002575</v>
      </c>
      <c r="L32" s="210">
        <f>+K32/$K$8</f>
        <v>0.29300691965213815</v>
      </c>
      <c r="M32" s="212">
        <f>+G32/$G$8</f>
        <v>0.27909658777905866</v>
      </c>
      <c r="O32" s="528"/>
      <c r="P32" s="528"/>
      <c r="Q32" s="528"/>
      <c r="V32" s="528"/>
    </row>
    <row r="33" spans="2:21" ht="12.75">
      <c r="B33" s="104"/>
      <c r="C33" s="515"/>
      <c r="D33" s="515"/>
      <c r="E33" s="516"/>
      <c r="F33" s="240"/>
      <c r="G33" s="240"/>
      <c r="H33" s="516"/>
      <c r="I33" s="515"/>
      <c r="J33" s="206"/>
      <c r="K33" s="240"/>
      <c r="L33" s="206"/>
      <c r="M33" s="258"/>
      <c r="O33" s="528"/>
      <c r="P33" s="528"/>
      <c r="Q33" s="528"/>
      <c r="U33" s="528"/>
    </row>
    <row r="34" spans="1:24" ht="12.75">
      <c r="A34" s="96" t="s">
        <v>174</v>
      </c>
      <c r="B34" s="98" t="s">
        <v>60</v>
      </c>
      <c r="C34" s="527">
        <v>3550</v>
      </c>
      <c r="D34" s="527">
        <v>6565.8288900000125</v>
      </c>
      <c r="E34" s="518">
        <f t="shared" si="2"/>
        <v>0.5406781168797704</v>
      </c>
      <c r="F34" s="249">
        <v>949.715423</v>
      </c>
      <c r="G34" s="249">
        <v>1889.1348681876254</v>
      </c>
      <c r="H34" s="518">
        <f>F34/G34</f>
        <v>0.5027250510235546</v>
      </c>
      <c r="I34" s="527">
        <v>4158783.25154001</v>
      </c>
      <c r="J34" s="518">
        <f>I34/SUM($I$34:$I$36)</f>
        <v>0.5176265465021763</v>
      </c>
      <c r="K34" s="249">
        <v>1355136.0031710386</v>
      </c>
      <c r="L34" s="518">
        <f>+K34/SUM($K$34:$K$36)</f>
        <v>0.49751460313347723</v>
      </c>
      <c r="M34" s="526">
        <f>+G34/SUM($G$34:$G$36)</f>
        <v>0.46199741996415733</v>
      </c>
      <c r="O34" s="528"/>
      <c r="P34" s="528"/>
      <c r="Q34" s="528"/>
      <c r="X34" s="528"/>
    </row>
    <row r="35" spans="2:24" ht="12.75">
      <c r="B35" s="110" t="s">
        <v>61</v>
      </c>
      <c r="C35" s="515">
        <v>1438</v>
      </c>
      <c r="D35" s="515">
        <v>2365.34115000001</v>
      </c>
      <c r="E35" s="516">
        <f t="shared" si="2"/>
        <v>0.6079461307304419</v>
      </c>
      <c r="F35" s="240">
        <v>531.2116649999999</v>
      </c>
      <c r="G35" s="240">
        <v>871.70449985352</v>
      </c>
      <c r="H35" s="516">
        <f>F35/G35</f>
        <v>0.609394198480407</v>
      </c>
      <c r="I35" s="515">
        <v>1623801.7774800002</v>
      </c>
      <c r="J35" s="516">
        <f>I35/SUM($I$34:$I$36)</f>
        <v>0.20210788960204157</v>
      </c>
      <c r="K35" s="240">
        <v>672071.0249542269</v>
      </c>
      <c r="L35" s="206">
        <f>+K35/SUM($K$34:$K$36)</f>
        <v>0.24673918224827027</v>
      </c>
      <c r="M35" s="207">
        <f>+G35/SUM($G$34:$G$36)</f>
        <v>0.21317971346843748</v>
      </c>
      <c r="O35" s="528"/>
      <c r="P35" s="528"/>
      <c r="Q35" s="528"/>
      <c r="X35" s="528"/>
    </row>
    <row r="36" spans="2:24" ht="12.75">
      <c r="B36" s="99" t="s">
        <v>62</v>
      </c>
      <c r="C36" s="519">
        <v>3600</v>
      </c>
      <c r="D36" s="519">
        <v>4645.1958300000515</v>
      </c>
      <c r="E36" s="520">
        <f t="shared" si="2"/>
        <v>0.7749942374334647</v>
      </c>
      <c r="F36" s="238">
        <v>1011.8188769999999</v>
      </c>
      <c r="G36" s="238">
        <v>1328.2199785114574</v>
      </c>
      <c r="H36" s="520">
        <f>F36/G36</f>
        <v>0.7617856178717852</v>
      </c>
      <c r="I36" s="519">
        <v>2251746.4395700092</v>
      </c>
      <c r="J36" s="520">
        <f>I36/SUM($I$34:$I$36)</f>
        <v>0.28026556389578217</v>
      </c>
      <c r="K36" s="238">
        <v>696604.4834083403</v>
      </c>
      <c r="L36" s="210">
        <f>+K36/SUM($K$34:$K$36)</f>
        <v>0.2557462146182525</v>
      </c>
      <c r="M36" s="212">
        <f>+G36/SUM($G$34:$G$36)</f>
        <v>0.3248228665674053</v>
      </c>
      <c r="O36" s="528"/>
      <c r="P36" s="528"/>
      <c r="Q36" s="528"/>
      <c r="X36" s="528"/>
    </row>
    <row r="37" spans="3:15" ht="12.75">
      <c r="C37" s="522"/>
      <c r="D37" s="522"/>
      <c r="E37" s="523"/>
      <c r="F37" s="264"/>
      <c r="G37" s="264"/>
      <c r="H37" s="523"/>
      <c r="I37" s="522"/>
      <c r="J37" s="265"/>
      <c r="K37" s="264"/>
      <c r="L37" s="265"/>
      <c r="M37" s="258"/>
      <c r="O37" s="528"/>
    </row>
    <row r="38" spans="1:24" ht="12.75">
      <c r="A38" s="100" t="s">
        <v>175</v>
      </c>
      <c r="B38" s="98" t="s">
        <v>176</v>
      </c>
      <c r="C38" s="509">
        <v>688</v>
      </c>
      <c r="D38" s="509">
        <v>978.6015100000045</v>
      </c>
      <c r="E38" s="510">
        <f t="shared" si="2"/>
        <v>0.7030440817529464</v>
      </c>
      <c r="F38" s="249">
        <v>132.44643299999998</v>
      </c>
      <c r="G38" s="249">
        <v>207.73583609462062</v>
      </c>
      <c r="H38" s="510">
        <f t="shared" si="3"/>
        <v>0.6375714247958286</v>
      </c>
      <c r="I38" s="509">
        <v>304348.5109099983</v>
      </c>
      <c r="J38" s="510">
        <f>I38/SUM($I$38:$I$39)</f>
        <v>0.6059423902627239</v>
      </c>
      <c r="K38" s="249">
        <v>72549.11253620042</v>
      </c>
      <c r="L38" s="510">
        <f>K38/SUM($K$38:$K$39)</f>
        <v>0.5966610336657227</v>
      </c>
      <c r="M38" s="511">
        <f>G38/SUM($G$38:$G$39)</f>
        <v>0.5698169261349468</v>
      </c>
      <c r="O38" s="528"/>
      <c r="P38" s="528"/>
      <c r="Q38" s="528"/>
      <c r="X38" s="528"/>
    </row>
    <row r="39" spans="2:24" ht="12.75">
      <c r="B39" s="99" t="s">
        <v>62</v>
      </c>
      <c r="C39" s="519">
        <v>641</v>
      </c>
      <c r="D39" s="519">
        <v>681.5815399999966</v>
      </c>
      <c r="E39" s="520">
        <f t="shared" si="2"/>
        <v>0.9404597430851828</v>
      </c>
      <c r="F39" s="238">
        <v>132.31837299999998</v>
      </c>
      <c r="G39" s="238">
        <v>156.83009125275973</v>
      </c>
      <c r="H39" s="520">
        <f t="shared" si="3"/>
        <v>0.8437052605341233</v>
      </c>
      <c r="I39" s="519">
        <v>197924.50348999965</v>
      </c>
      <c r="J39" s="520">
        <f>I39/SUM($I$38:$I$39)</f>
        <v>0.39405760973727605</v>
      </c>
      <c r="K39" s="238">
        <v>49042.726787508145</v>
      </c>
      <c r="L39" s="520">
        <f>K39/SUM($K$38:$K$39)</f>
        <v>0.4033389663342773</v>
      </c>
      <c r="M39" s="524">
        <f>G39/SUM($G$38:$G$39)</f>
        <v>0.43018307386505317</v>
      </c>
      <c r="O39" s="528"/>
      <c r="P39" s="528"/>
      <c r="Q39" s="528"/>
      <c r="X39" s="528"/>
    </row>
    <row r="40" spans="10:24" ht="12.75">
      <c r="J40" s="523"/>
      <c r="L40" s="523"/>
      <c r="M40" s="258"/>
      <c r="O40" s="528"/>
      <c r="P40" s="528"/>
      <c r="Q40" s="528"/>
      <c r="X40" s="528"/>
    </row>
    <row r="41" spans="1:24" ht="12.75">
      <c r="A41" s="100" t="s">
        <v>177</v>
      </c>
      <c r="J41" s="523"/>
      <c r="L41" s="523"/>
      <c r="M41" s="508"/>
      <c r="O41" s="528"/>
      <c r="P41" s="528"/>
      <c r="Q41" s="528"/>
      <c r="X41" s="528"/>
    </row>
    <row r="42" spans="2:15" ht="12.75">
      <c r="B42" s="98">
        <v>1</v>
      </c>
      <c r="C42" s="509">
        <v>2523</v>
      </c>
      <c r="D42" s="509">
        <v>4480.592400000007</v>
      </c>
      <c r="E42" s="510">
        <f t="shared" si="2"/>
        <v>0.5630951835743854</v>
      </c>
      <c r="F42" s="249">
        <v>585.693486</v>
      </c>
      <c r="G42" s="249">
        <v>1087.9506230798252</v>
      </c>
      <c r="H42" s="510">
        <f t="shared" si="3"/>
        <v>0.5383456505976251</v>
      </c>
      <c r="I42" s="509">
        <v>2281455.278780007</v>
      </c>
      <c r="J42" s="510">
        <f>I42/SUM($I$42:$I$43)</f>
        <v>0.6970986849923874</v>
      </c>
      <c r="K42" s="249">
        <v>554853.074658186</v>
      </c>
      <c r="L42" s="510">
        <f>K42/SUM($K$42:$K$43)</f>
        <v>0.6982244042218264</v>
      </c>
      <c r="M42" s="511">
        <f>+G42/SUM($G$42:$G$43)</f>
        <v>0.596783143096869</v>
      </c>
      <c r="O42" s="528"/>
    </row>
    <row r="43" spans="2:24" ht="12.75">
      <c r="B43" s="99">
        <v>2</v>
      </c>
      <c r="C43" s="519">
        <v>2152</v>
      </c>
      <c r="D43" s="519">
        <v>2815.767910000049</v>
      </c>
      <c r="E43" s="520">
        <f t="shared" si="2"/>
        <v>0.7642675351037588</v>
      </c>
      <c r="F43" s="238">
        <v>552.679757</v>
      </c>
      <c r="G43" s="238">
        <v>735.0744332817795</v>
      </c>
      <c r="H43" s="520">
        <f t="shared" si="3"/>
        <v>0.7518691060067636</v>
      </c>
      <c r="I43" s="519">
        <v>991331.383850007</v>
      </c>
      <c r="J43" s="520">
        <f>I43/SUM($I$42:$I$43)</f>
        <v>0.30290131500761264</v>
      </c>
      <c r="K43" s="238">
        <v>239809.88943080435</v>
      </c>
      <c r="L43" s="520">
        <f>K43/SUM($K$42:$K$43)</f>
        <v>0.3017755957781735</v>
      </c>
      <c r="M43" s="524">
        <f>+G43/SUM($G$42:$G$43)</f>
        <v>0.403216856903131</v>
      </c>
      <c r="O43" s="528"/>
      <c r="P43" s="528"/>
      <c r="Q43" s="528"/>
      <c r="X43" s="528"/>
    </row>
    <row r="44" spans="2:17" ht="12.75">
      <c r="B44" s="100"/>
      <c r="C44" s="515"/>
      <c r="D44" s="515"/>
      <c r="E44" s="516"/>
      <c r="F44" s="240"/>
      <c r="G44" s="240"/>
      <c r="H44" s="516"/>
      <c r="I44" s="515"/>
      <c r="J44" s="516"/>
      <c r="K44" s="240"/>
      <c r="L44" s="516"/>
      <c r="M44" s="516"/>
      <c r="O44" s="528"/>
      <c r="P44" s="528"/>
      <c r="Q44" s="528"/>
    </row>
    <row r="45" spans="1:17" ht="12.75">
      <c r="A45" s="100" t="s">
        <v>178</v>
      </c>
      <c r="J45" s="523"/>
      <c r="L45" s="523"/>
      <c r="M45" s="508"/>
      <c r="O45" s="528"/>
      <c r="P45" s="528"/>
      <c r="Q45" s="528"/>
    </row>
    <row r="46" spans="2:17" ht="12.75">
      <c r="B46" s="98">
        <v>1</v>
      </c>
      <c r="C46" s="509">
        <v>732</v>
      </c>
      <c r="D46" s="509">
        <v>1521.2242300000046</v>
      </c>
      <c r="E46" s="510">
        <f t="shared" si="2"/>
        <v>0.4811913888592202</v>
      </c>
      <c r="F46" s="249">
        <v>252.91493699999998</v>
      </c>
      <c r="G46" s="249">
        <v>567.8348851794298</v>
      </c>
      <c r="H46" s="510">
        <f t="shared" si="3"/>
        <v>0.44540225266378547</v>
      </c>
      <c r="I46" s="509">
        <v>1366599.4660400038</v>
      </c>
      <c r="J46" s="510">
        <f>I46/SUM($I$46:$I$48)</f>
        <v>0.3973452222883524</v>
      </c>
      <c r="K46" s="249">
        <v>575350.4971216948</v>
      </c>
      <c r="L46" s="510">
        <f>K46/SUM($K$46:$K$48)</f>
        <v>0.41776690335112987</v>
      </c>
      <c r="M46" s="526">
        <f>G46/SUM($G$46:$G$48)</f>
        <v>0.35586637453541753</v>
      </c>
      <c r="O46" s="528"/>
      <c r="P46" s="528"/>
      <c r="Q46" s="528"/>
    </row>
    <row r="47" spans="2:17" ht="12.75">
      <c r="B47" s="110">
        <v>2</v>
      </c>
      <c r="C47" s="515">
        <v>789</v>
      </c>
      <c r="D47" s="515">
        <v>1386.6597500000062</v>
      </c>
      <c r="E47" s="516">
        <f t="shared" si="2"/>
        <v>0.568993222742635</v>
      </c>
      <c r="F47" s="240">
        <v>284.65275299999996</v>
      </c>
      <c r="G47" s="240">
        <v>506.2408515654603</v>
      </c>
      <c r="H47" s="516">
        <f t="shared" si="3"/>
        <v>0.5622872040447974</v>
      </c>
      <c r="I47" s="515">
        <v>974295.3181000017</v>
      </c>
      <c r="J47" s="516">
        <f>I47/SUM($I$46:$I$48)</f>
        <v>0.28328094614784066</v>
      </c>
      <c r="K47" s="240">
        <v>402224.5579030908</v>
      </c>
      <c r="L47" s="206">
        <f>K47/SUM($K$46:$K$48)</f>
        <v>0.29205868222515746</v>
      </c>
      <c r="M47" s="207">
        <f>G47/SUM($G$46:$G$48)</f>
        <v>0.3172649324484459</v>
      </c>
      <c r="O47" s="528"/>
      <c r="P47" s="528"/>
      <c r="Q47" s="528"/>
    </row>
    <row r="48" spans="2:20" ht="12.75">
      <c r="B48" s="99">
        <v>3</v>
      </c>
      <c r="C48" s="519">
        <v>1249</v>
      </c>
      <c r="D48" s="519">
        <v>1607.9999100000023</v>
      </c>
      <c r="E48" s="520">
        <f t="shared" si="2"/>
        <v>0.7767413370066658</v>
      </c>
      <c r="F48" s="238">
        <v>397.224742</v>
      </c>
      <c r="G48" s="238">
        <v>521.5650031837882</v>
      </c>
      <c r="H48" s="520">
        <f t="shared" si="3"/>
        <v>0.7616016020538605</v>
      </c>
      <c r="I48" s="519">
        <v>1098430.491170002</v>
      </c>
      <c r="J48" s="520">
        <f>I48/SUM($I$46:$I$48)</f>
        <v>0.31937383156380683</v>
      </c>
      <c r="K48" s="238">
        <v>399629.535636905</v>
      </c>
      <c r="L48" s="210">
        <f>K48/SUM($K$46:$K$48)</f>
        <v>0.29017441442371267</v>
      </c>
      <c r="M48" s="212">
        <f>G48/SUM($G$46:$G$48)</f>
        <v>0.32686869301613664</v>
      </c>
      <c r="O48" s="528"/>
      <c r="P48" s="528"/>
      <c r="Q48" s="528"/>
      <c r="T48" s="528"/>
    </row>
    <row r="49" spans="2:20" ht="12.75">
      <c r="B49" s="100"/>
      <c r="C49" s="515"/>
      <c r="D49" s="515"/>
      <c r="E49" s="516"/>
      <c r="F49" s="515"/>
      <c r="G49" s="515"/>
      <c r="H49" s="516"/>
      <c r="I49" s="515"/>
      <c r="J49" s="516"/>
      <c r="K49" s="515"/>
      <c r="L49" s="516"/>
      <c r="M49" s="516"/>
      <c r="O49" s="528"/>
      <c r="P49" s="528"/>
      <c r="Q49" s="528"/>
      <c r="T49" s="528"/>
    </row>
    <row r="50" spans="1:20" ht="12.75">
      <c r="A50" s="100" t="s">
        <v>179</v>
      </c>
      <c r="F50" s="269"/>
      <c r="G50" s="269"/>
      <c r="J50" s="523"/>
      <c r="K50" s="269"/>
      <c r="L50" s="523"/>
      <c r="M50" s="508"/>
      <c r="O50" s="528"/>
      <c r="P50" s="528"/>
      <c r="Q50" s="528"/>
      <c r="T50" s="528"/>
    </row>
    <row r="51" spans="2:17" ht="12.75">
      <c r="B51" s="98">
        <v>1</v>
      </c>
      <c r="C51" s="527">
        <v>295</v>
      </c>
      <c r="D51" s="527">
        <v>564.0122600000012</v>
      </c>
      <c r="E51" s="518">
        <f t="shared" si="2"/>
        <v>0.5230382757991809</v>
      </c>
      <c r="F51" s="249">
        <v>111.107</v>
      </c>
      <c r="G51" s="249">
        <v>233.34935992837032</v>
      </c>
      <c r="H51" s="518">
        <f t="shared" si="3"/>
        <v>0.47614015326249776</v>
      </c>
      <c r="I51" s="527">
        <v>510728.5067199989</v>
      </c>
      <c r="J51" s="518">
        <f>I51/SUM($I$51:$I$54)</f>
        <v>0.3862660434829056</v>
      </c>
      <c r="K51" s="249">
        <v>224932.43139115788</v>
      </c>
      <c r="L51" s="518">
        <f>K51/SUM($K$51:$K$54)</f>
        <v>0.40752766404438034</v>
      </c>
      <c r="M51" s="526">
        <f>G51/SUM($G$51:$G$54)</f>
        <v>0.3480781696617793</v>
      </c>
      <c r="O51" s="528"/>
      <c r="P51" s="528"/>
      <c r="Q51" s="528"/>
    </row>
    <row r="52" spans="2:17" ht="12.75">
      <c r="B52" s="110">
        <v>2</v>
      </c>
      <c r="C52" s="515">
        <v>282</v>
      </c>
      <c r="D52" s="515">
        <v>441.84573000000177</v>
      </c>
      <c r="E52" s="516">
        <f t="shared" si="2"/>
        <v>0.6382318100030047</v>
      </c>
      <c r="F52" s="240">
        <v>104.083</v>
      </c>
      <c r="G52" s="240">
        <v>170.46867954897937</v>
      </c>
      <c r="H52" s="516">
        <f t="shared" si="3"/>
        <v>0.6105696382196395</v>
      </c>
      <c r="I52" s="515">
        <v>271962.98294</v>
      </c>
      <c r="J52" s="516">
        <f>I52/SUM($I$51:$I$54)</f>
        <v>0.20568670832316643</v>
      </c>
      <c r="K52" s="240">
        <v>117225.95746525086</v>
      </c>
      <c r="L52" s="206">
        <f>K52/SUM($K$51:$K$54)</f>
        <v>0.21238742815215722</v>
      </c>
      <c r="M52" s="207">
        <f>G52/SUM($G$51:$G$54)</f>
        <v>0.2542815029802663</v>
      </c>
      <c r="O52" s="528"/>
      <c r="P52" s="528"/>
      <c r="Q52" s="528"/>
    </row>
    <row r="53" spans="2:20" ht="12.75">
      <c r="B53" s="110">
        <v>3</v>
      </c>
      <c r="C53" s="515">
        <v>367</v>
      </c>
      <c r="D53" s="515">
        <v>536.8356700000023</v>
      </c>
      <c r="E53" s="516">
        <f t="shared" si="2"/>
        <v>0.6836356458951366</v>
      </c>
      <c r="F53" s="240">
        <v>142.475912</v>
      </c>
      <c r="G53" s="240">
        <v>194.99496873908035</v>
      </c>
      <c r="H53" s="516">
        <f t="shared" si="3"/>
        <v>0.7306645546872788</v>
      </c>
      <c r="I53" s="515">
        <v>377543.47643999837</v>
      </c>
      <c r="J53" s="516">
        <f>I53/SUM($I$51:$I$54)</f>
        <v>0.2855376642745548</v>
      </c>
      <c r="K53" s="240">
        <v>152620.5095858853</v>
      </c>
      <c r="L53" s="206">
        <f>K53/SUM($K$51:$K$54)</f>
        <v>0.27651450425411517</v>
      </c>
      <c r="M53" s="207">
        <f>G53/SUM($G$51:$G$54)</f>
        <v>0.29086641520160855</v>
      </c>
      <c r="O53" s="528"/>
      <c r="P53" s="528"/>
      <c r="Q53" s="528"/>
      <c r="T53" s="528"/>
    </row>
    <row r="54" spans="2:17" ht="12.75">
      <c r="B54" s="99">
        <v>4</v>
      </c>
      <c r="C54" s="519">
        <v>199</v>
      </c>
      <c r="D54" s="519">
        <v>221.4280099999997</v>
      </c>
      <c r="E54" s="520">
        <f t="shared" si="2"/>
        <v>0.8987119560890254</v>
      </c>
      <c r="F54" s="238">
        <v>61.914378</v>
      </c>
      <c r="G54" s="238">
        <v>71.58054204588971</v>
      </c>
      <c r="H54" s="520">
        <f t="shared" si="3"/>
        <v>0.8649610107773029</v>
      </c>
      <c r="I54" s="519">
        <v>161984.5645500001</v>
      </c>
      <c r="J54" s="520">
        <f>I54/SUM($I$51:$I$54)</f>
        <v>0.12250958391937321</v>
      </c>
      <c r="K54" s="238">
        <v>57165.05834063094</v>
      </c>
      <c r="L54" s="210">
        <f>K54/SUM($K$51:$K$54)</f>
        <v>0.10357040354934709</v>
      </c>
      <c r="M54" s="212">
        <f>G54/SUM($G$51:$G$54)</f>
        <v>0.10677391215634578</v>
      </c>
      <c r="O54" s="528"/>
      <c r="P54" s="528"/>
      <c r="Q54" s="528"/>
    </row>
    <row r="55" spans="10:22" ht="12.75">
      <c r="J55" s="523"/>
      <c r="L55" s="523"/>
      <c r="M55" s="258"/>
      <c r="O55" s="528"/>
      <c r="P55" s="528"/>
      <c r="Q55" s="528"/>
      <c r="V55" s="528"/>
    </row>
    <row r="56" spans="1:20" ht="12.75">
      <c r="A56" s="96" t="s">
        <v>207</v>
      </c>
      <c r="B56" s="98">
        <v>2006</v>
      </c>
      <c r="C56" s="509">
        <v>4785</v>
      </c>
      <c r="D56" s="509">
        <v>7237.5686299997415</v>
      </c>
      <c r="E56" s="510">
        <f t="shared" si="2"/>
        <v>0.661133627136351</v>
      </c>
      <c r="F56" s="266">
        <v>1294.728997</v>
      </c>
      <c r="G56" s="266">
        <v>2067.564422989518</v>
      </c>
      <c r="H56" s="510">
        <f t="shared" si="3"/>
        <v>0.6262097483414494</v>
      </c>
      <c r="I56" s="509">
        <v>4231704.722169984</v>
      </c>
      <c r="J56" s="510">
        <f>I56/$I$8</f>
        <v>0.49571287162268074</v>
      </c>
      <c r="K56" s="266">
        <v>1374607.5906589935</v>
      </c>
      <c r="L56" s="510">
        <f>+K56/$K$8</f>
        <v>0.4830976213775895</v>
      </c>
      <c r="M56" s="255">
        <f>+G56/$G$8</f>
        <v>0.4642430145855062</v>
      </c>
      <c r="O56" s="528"/>
      <c r="P56" s="528"/>
      <c r="Q56" s="528"/>
      <c r="T56" s="528"/>
    </row>
    <row r="57" spans="2:20" ht="12.75">
      <c r="B57" s="99">
        <v>2007</v>
      </c>
      <c r="C57" s="519">
        <v>5132</v>
      </c>
      <c r="D57" s="519">
        <v>7998.9802899996275</v>
      </c>
      <c r="E57" s="520">
        <f t="shared" si="2"/>
        <v>0.6415817784194389</v>
      </c>
      <c r="F57" s="267">
        <v>1462.781774</v>
      </c>
      <c r="G57" s="267">
        <v>2386.0608509104636</v>
      </c>
      <c r="H57" s="520">
        <f t="shared" si="3"/>
        <v>0.6130530046800096</v>
      </c>
      <c r="I57" s="519">
        <v>4304899.760819949</v>
      </c>
      <c r="J57" s="520">
        <f>I57/$I$8</f>
        <v>0.5042871283773206</v>
      </c>
      <c r="K57" s="267">
        <v>1470795.7601983158</v>
      </c>
      <c r="L57" s="520">
        <f>+K57/$K$8</f>
        <v>0.5169023786224072</v>
      </c>
      <c r="M57" s="212">
        <f>+G57/$G$8</f>
        <v>0.5357569854144988</v>
      </c>
      <c r="O57" s="528"/>
      <c r="P57" s="528"/>
      <c r="Q57" s="528"/>
      <c r="T57" s="528"/>
    </row>
    <row r="58" spans="13:20" ht="12.75">
      <c r="M58" s="243"/>
      <c r="O58" s="528"/>
      <c r="P58" s="528"/>
      <c r="Q58" s="528"/>
      <c r="T58" s="528"/>
    </row>
    <row r="59" spans="13:20" ht="12.75">
      <c r="M59" s="243"/>
      <c r="O59" s="528"/>
      <c r="P59" s="528"/>
      <c r="Q59" s="528"/>
      <c r="T59" s="528"/>
    </row>
    <row r="60" spans="13:20" ht="12.75">
      <c r="M60" s="243"/>
      <c r="O60" s="528"/>
      <c r="P60" s="528"/>
      <c r="Q60" s="528"/>
      <c r="T60" s="528"/>
    </row>
    <row r="61" spans="13:20" ht="12.75">
      <c r="M61" s="243"/>
      <c r="O61" s="528"/>
      <c r="P61" s="528"/>
      <c r="Q61" s="528"/>
      <c r="T61" s="528"/>
    </row>
    <row r="62" spans="13:20" ht="12.75">
      <c r="M62" s="243"/>
      <c r="O62" s="528"/>
      <c r="P62" s="528"/>
      <c r="Q62" s="528"/>
      <c r="T62" s="528"/>
    </row>
    <row r="63" spans="13:20" ht="12.75">
      <c r="M63" s="243"/>
      <c r="O63" s="528"/>
      <c r="P63" s="528"/>
      <c r="Q63" s="528"/>
      <c r="T63" s="528"/>
    </row>
    <row r="64" spans="13:20" ht="12.75">
      <c r="M64" s="243"/>
      <c r="O64" s="528"/>
      <c r="P64" s="528"/>
      <c r="Q64" s="528"/>
      <c r="T64" s="528"/>
    </row>
    <row r="65" spans="13:20" ht="12.75">
      <c r="M65" s="243"/>
      <c r="O65" s="528"/>
      <c r="P65" s="528"/>
      <c r="Q65" s="528"/>
      <c r="T65" s="528"/>
    </row>
    <row r="66" spans="13:20" ht="12.75">
      <c r="M66" s="243"/>
      <c r="O66" s="528"/>
      <c r="P66" s="528"/>
      <c r="Q66" s="528"/>
      <c r="T66" s="528"/>
    </row>
    <row r="67" spans="13:20" ht="12.75">
      <c r="M67" s="243"/>
      <c r="O67" s="528"/>
      <c r="P67" s="528"/>
      <c r="Q67" s="528"/>
      <c r="T67" s="528"/>
    </row>
    <row r="68" spans="13:20" ht="12.75">
      <c r="M68" s="243"/>
      <c r="O68" s="528"/>
      <c r="P68" s="528"/>
      <c r="Q68" s="528"/>
      <c r="T68" s="528"/>
    </row>
    <row r="69" spans="13:20" ht="12.75">
      <c r="M69" s="243"/>
      <c r="O69" s="528"/>
      <c r="P69" s="528"/>
      <c r="Q69" s="528"/>
      <c r="T69" s="528"/>
    </row>
    <row r="70" spans="13:20" ht="12.75">
      <c r="M70" s="243"/>
      <c r="O70" s="528"/>
      <c r="P70" s="528"/>
      <c r="Q70" s="528"/>
      <c r="T70" s="528"/>
    </row>
    <row r="71" spans="13:20" ht="12.75">
      <c r="M71" s="243"/>
      <c r="O71" s="528"/>
      <c r="P71" s="528"/>
      <c r="Q71" s="528"/>
      <c r="T71" s="528"/>
    </row>
    <row r="72" spans="13:20" ht="12.75">
      <c r="M72" s="243"/>
      <c r="O72" s="528"/>
      <c r="P72" s="528"/>
      <c r="Q72" s="528"/>
      <c r="T72" s="528"/>
    </row>
    <row r="73" spans="13:20" ht="12.75">
      <c r="M73" s="243"/>
      <c r="O73" s="528"/>
      <c r="P73" s="528"/>
      <c r="Q73" s="528"/>
      <c r="T73" s="528"/>
    </row>
    <row r="74" spans="13:20" ht="12.75">
      <c r="M74" s="243"/>
      <c r="O74" s="528"/>
      <c r="P74" s="528"/>
      <c r="Q74" s="528"/>
      <c r="T74" s="528"/>
    </row>
    <row r="75" spans="13:20" ht="12.75">
      <c r="M75" s="243"/>
      <c r="O75" s="528"/>
      <c r="P75" s="528"/>
      <c r="Q75" s="528"/>
      <c r="T75" s="528"/>
    </row>
    <row r="76" spans="13:20" ht="12.75">
      <c r="M76" s="243"/>
      <c r="O76" s="528"/>
      <c r="P76" s="528"/>
      <c r="Q76" s="528"/>
      <c r="T76" s="528"/>
    </row>
    <row r="77" spans="13:20" ht="12.75">
      <c r="M77" s="243"/>
      <c r="O77" s="528"/>
      <c r="P77" s="528"/>
      <c r="Q77" s="528"/>
      <c r="T77" s="528"/>
    </row>
    <row r="78" spans="13:20" ht="12.75">
      <c r="M78" s="243"/>
      <c r="O78" s="528"/>
      <c r="P78" s="528"/>
      <c r="Q78" s="528"/>
      <c r="T78" s="528"/>
    </row>
    <row r="79" spans="13:20" ht="12.75">
      <c r="M79" s="243"/>
      <c r="O79" s="528"/>
      <c r="P79" s="528"/>
      <c r="Q79" s="528"/>
      <c r="T79" s="528"/>
    </row>
    <row r="80" spans="13:20" ht="12.75">
      <c r="M80" s="243"/>
      <c r="O80" s="528"/>
      <c r="P80" s="528"/>
      <c r="Q80" s="528"/>
      <c r="T80" s="528"/>
    </row>
    <row r="81" spans="13:20" ht="12.75">
      <c r="M81" s="243"/>
      <c r="O81" s="528"/>
      <c r="P81" s="528"/>
      <c r="Q81" s="528"/>
      <c r="T81" s="528"/>
    </row>
    <row r="82" spans="13:20" ht="12.75">
      <c r="M82" s="243"/>
      <c r="O82" s="528"/>
      <c r="P82" s="528"/>
      <c r="Q82" s="528"/>
      <c r="T82" s="528"/>
    </row>
    <row r="83" spans="13:20" ht="12.75">
      <c r="M83" s="243"/>
      <c r="O83" s="528"/>
      <c r="P83" s="528"/>
      <c r="Q83" s="528"/>
      <c r="T83" s="528"/>
    </row>
    <row r="84" spans="13:20" ht="12.75">
      <c r="M84" s="243"/>
      <c r="O84" s="528"/>
      <c r="P84" s="528"/>
      <c r="Q84" s="528"/>
      <c r="T84" s="528"/>
    </row>
    <row r="85" spans="13:20" ht="12.75">
      <c r="M85" s="243"/>
      <c r="O85" s="528"/>
      <c r="P85" s="528"/>
      <c r="Q85" s="528"/>
      <c r="T85" s="528"/>
    </row>
    <row r="86" ht="12.75">
      <c r="M86" s="243"/>
    </row>
    <row r="87" ht="12.75">
      <c r="M87" s="243"/>
    </row>
    <row r="88" ht="12.75">
      <c r="M88" s="243"/>
    </row>
    <row r="89" ht="12.75">
      <c r="M89" s="243"/>
    </row>
    <row r="90" ht="12.75">
      <c r="M90" s="243"/>
    </row>
    <row r="91" ht="12.75">
      <c r="M91" s="243"/>
    </row>
    <row r="92" ht="12.75">
      <c r="M92" s="243"/>
    </row>
    <row r="93" ht="12.75">
      <c r="M93" s="243"/>
    </row>
    <row r="94" ht="12.75">
      <c r="M94" s="243"/>
    </row>
    <row r="95" ht="12.75">
      <c r="M95" s="243"/>
    </row>
    <row r="96" ht="12.75">
      <c r="M96" s="243"/>
    </row>
    <row r="97" ht="12.75">
      <c r="M97" s="243"/>
    </row>
    <row r="98" ht="12.75">
      <c r="M98" s="243"/>
    </row>
    <row r="99" ht="12.75">
      <c r="M99" s="243"/>
    </row>
    <row r="100" ht="12.75">
      <c r="M100" s="243"/>
    </row>
    <row r="101" ht="12.75">
      <c r="M101" s="243"/>
    </row>
    <row r="102" ht="12.75">
      <c r="M102" s="243"/>
    </row>
    <row r="103" ht="12.75">
      <c r="M103" s="243"/>
    </row>
    <row r="104" ht="12.75">
      <c r="M104" s="243"/>
    </row>
    <row r="105" ht="12.75">
      <c r="M105" s="243"/>
    </row>
    <row r="106" ht="12.75">
      <c r="M106" s="243"/>
    </row>
    <row r="107" ht="12.75">
      <c r="M107" s="243"/>
    </row>
    <row r="108" ht="12.75">
      <c r="M108" s="243"/>
    </row>
    <row r="109" ht="12.75">
      <c r="M109" s="243"/>
    </row>
    <row r="110" ht="12.75">
      <c r="M110" s="243"/>
    </row>
    <row r="111" ht="12.75">
      <c r="M111" s="243"/>
    </row>
    <row r="112" ht="12.75">
      <c r="M112" s="243"/>
    </row>
    <row r="113" ht="12.75">
      <c r="M113" s="243"/>
    </row>
    <row r="114" ht="12.75">
      <c r="M114" s="243"/>
    </row>
    <row r="115" ht="12.75">
      <c r="M115" s="243"/>
    </row>
    <row r="116" ht="12.75">
      <c r="M116" s="243"/>
    </row>
    <row r="117" ht="12.75">
      <c r="M117" s="243"/>
    </row>
    <row r="118" ht="12.75">
      <c r="M118" s="243"/>
    </row>
    <row r="119" ht="12.75">
      <c r="M119" s="243"/>
    </row>
    <row r="120" ht="12.75">
      <c r="M120" s="243"/>
    </row>
    <row r="121" ht="12.75">
      <c r="M121" s="243"/>
    </row>
    <row r="122" ht="12.75">
      <c r="M122" s="243"/>
    </row>
    <row r="123" ht="12.75">
      <c r="M123" s="243"/>
    </row>
    <row r="124" ht="12.75">
      <c r="M124" s="243"/>
    </row>
    <row r="125" ht="12.75">
      <c r="M125" s="243"/>
    </row>
    <row r="126" ht="12.75">
      <c r="M126" s="243"/>
    </row>
    <row r="127" ht="12.75">
      <c r="M127" s="243"/>
    </row>
    <row r="128" ht="12.75">
      <c r="M128" s="243"/>
    </row>
    <row r="129" ht="12.75">
      <c r="M129" s="243"/>
    </row>
    <row r="130" ht="12.75">
      <c r="M130" s="243"/>
    </row>
    <row r="131" ht="12.75">
      <c r="M131" s="243"/>
    </row>
    <row r="132" ht="12.75">
      <c r="M132" s="243"/>
    </row>
    <row r="133" ht="12.75">
      <c r="M133" s="243"/>
    </row>
    <row r="134" ht="12.75">
      <c r="M134" s="243"/>
    </row>
    <row r="135" ht="12.75">
      <c r="M135" s="243"/>
    </row>
    <row r="136" ht="12.75">
      <c r="M136" s="243"/>
    </row>
    <row r="137" ht="12.75">
      <c r="M137" s="243"/>
    </row>
    <row r="138" ht="12.75">
      <c r="M138" s="243"/>
    </row>
    <row r="139" ht="12.75">
      <c r="M139" s="243"/>
    </row>
    <row r="140" ht="12.75">
      <c r="M140" s="243"/>
    </row>
    <row r="141" ht="12.75">
      <c r="M141" s="243"/>
    </row>
    <row r="142" ht="12.75">
      <c r="M142" s="243"/>
    </row>
    <row r="143" ht="12.75">
      <c r="M143" s="243"/>
    </row>
    <row r="144" ht="12.75">
      <c r="M144" s="243"/>
    </row>
    <row r="145" ht="12.75">
      <c r="M145" s="243"/>
    </row>
    <row r="146" ht="12.75">
      <c r="M146" s="243"/>
    </row>
    <row r="147" ht="12.75">
      <c r="M147" s="243"/>
    </row>
    <row r="148" ht="12.75">
      <c r="M148" s="243"/>
    </row>
    <row r="149" ht="12.75">
      <c r="M149" s="243"/>
    </row>
    <row r="150" ht="12.75">
      <c r="M150" s="243"/>
    </row>
    <row r="151" ht="12.75">
      <c r="M151" s="243"/>
    </row>
    <row r="152" ht="12.75">
      <c r="M152" s="243"/>
    </row>
    <row r="153" ht="12.75">
      <c r="M153" s="243"/>
    </row>
    <row r="154" ht="12.75">
      <c r="M154" s="243"/>
    </row>
    <row r="155" ht="12.75">
      <c r="M155" s="243"/>
    </row>
    <row r="156" ht="12.75">
      <c r="M156" s="243"/>
    </row>
    <row r="157" ht="12.75">
      <c r="M157" s="243"/>
    </row>
    <row r="158" ht="12.75">
      <c r="M158" s="243"/>
    </row>
    <row r="159" ht="12.75">
      <c r="M159" s="243"/>
    </row>
    <row r="160" ht="12.75">
      <c r="M160" s="243"/>
    </row>
    <row r="161" ht="12.75">
      <c r="M161" s="243"/>
    </row>
    <row r="162" ht="12.75">
      <c r="M162" s="243"/>
    </row>
    <row r="163" ht="12.75">
      <c r="M163" s="243"/>
    </row>
    <row r="164" ht="12.75">
      <c r="M164" s="243"/>
    </row>
    <row r="165" ht="12.75">
      <c r="M165" s="243"/>
    </row>
    <row r="166" ht="12.75">
      <c r="M166" s="243"/>
    </row>
    <row r="167" ht="12.75">
      <c r="M167" s="243"/>
    </row>
    <row r="168" ht="12.75">
      <c r="M168" s="243"/>
    </row>
    <row r="169" ht="12.75">
      <c r="M169" s="243"/>
    </row>
    <row r="170" ht="12.75">
      <c r="M170" s="243"/>
    </row>
    <row r="171" ht="12.75">
      <c r="M171" s="243"/>
    </row>
    <row r="172" ht="12.75">
      <c r="M172" s="243"/>
    </row>
    <row r="173" ht="12.75">
      <c r="M173" s="243"/>
    </row>
    <row r="174" ht="12.75">
      <c r="M174" s="243"/>
    </row>
    <row r="175" ht="12.75">
      <c r="M175" s="243"/>
    </row>
    <row r="176" ht="12.75">
      <c r="M176" s="243"/>
    </row>
    <row r="177" ht="12.75">
      <c r="M177" s="243"/>
    </row>
    <row r="178" ht="12.75">
      <c r="M178" s="243"/>
    </row>
    <row r="179" ht="12.75">
      <c r="M179" s="243"/>
    </row>
    <row r="180" ht="12.75">
      <c r="M180" s="243"/>
    </row>
    <row r="181" ht="12.75">
      <c r="M181" s="243"/>
    </row>
    <row r="182" ht="12.75">
      <c r="M182" s="243"/>
    </row>
    <row r="183" ht="12.75">
      <c r="M183" s="243"/>
    </row>
    <row r="184" ht="12.75">
      <c r="M184" s="243"/>
    </row>
    <row r="185" ht="12.75">
      <c r="M185" s="243"/>
    </row>
    <row r="186" ht="12.75">
      <c r="M186" s="243"/>
    </row>
    <row r="187" ht="12.75">
      <c r="M187" s="243"/>
    </row>
    <row r="188" ht="12.75">
      <c r="M188" s="243"/>
    </row>
    <row r="189" ht="12.75">
      <c r="M189" s="243"/>
    </row>
    <row r="190" ht="12.75">
      <c r="M190" s="243"/>
    </row>
    <row r="191" ht="12.75">
      <c r="M191" s="243"/>
    </row>
    <row r="192" ht="12.75">
      <c r="M192" s="243"/>
    </row>
    <row r="193" ht="12.75">
      <c r="M193" s="243"/>
    </row>
    <row r="194" ht="12.75">
      <c r="M194" s="243"/>
    </row>
    <row r="195" ht="12.75">
      <c r="M195" s="243"/>
    </row>
    <row r="196" ht="12.75">
      <c r="M196" s="243"/>
    </row>
    <row r="197" ht="12.75">
      <c r="M197" s="243"/>
    </row>
    <row r="198" ht="12.75">
      <c r="M198" s="243"/>
    </row>
    <row r="199" ht="12.75">
      <c r="M199" s="243"/>
    </row>
    <row r="200" ht="12.75">
      <c r="M200" s="243"/>
    </row>
    <row r="201" ht="12.75">
      <c r="M201" s="243"/>
    </row>
    <row r="202" ht="12.75">
      <c r="M202" s="243"/>
    </row>
    <row r="203" ht="12.75">
      <c r="M203" s="243"/>
    </row>
    <row r="204" ht="12.75">
      <c r="M204" s="243"/>
    </row>
    <row r="205" ht="12.75">
      <c r="M205" s="243"/>
    </row>
    <row r="206" ht="12.75">
      <c r="M206" s="243"/>
    </row>
    <row r="207" ht="12.75">
      <c r="M207" s="243"/>
    </row>
    <row r="208" ht="12.75">
      <c r="M208" s="243"/>
    </row>
    <row r="209" ht="12.75">
      <c r="M209" s="243"/>
    </row>
    <row r="210" ht="12.75">
      <c r="M210" s="243"/>
    </row>
    <row r="211" ht="12.75">
      <c r="M211" s="243"/>
    </row>
    <row r="212" ht="12.75">
      <c r="M212" s="243"/>
    </row>
    <row r="213" ht="12.75">
      <c r="M213" s="243"/>
    </row>
    <row r="214" ht="12.75">
      <c r="M214" s="243"/>
    </row>
    <row r="215" ht="12.75">
      <c r="M215" s="243"/>
    </row>
    <row r="216" ht="12.75">
      <c r="M216" s="243"/>
    </row>
    <row r="217" ht="12.75">
      <c r="M217" s="243"/>
    </row>
    <row r="218" ht="12.75">
      <c r="M218" s="243"/>
    </row>
    <row r="219" ht="12.75">
      <c r="M219" s="243"/>
    </row>
    <row r="220" ht="12.75">
      <c r="M220" s="243"/>
    </row>
    <row r="221" ht="12.75">
      <c r="M221" s="243"/>
    </row>
    <row r="222" ht="12.75">
      <c r="M222" s="243"/>
    </row>
    <row r="223" ht="12.75">
      <c r="M223" s="243"/>
    </row>
    <row r="224" ht="12.75">
      <c r="M224" s="243"/>
    </row>
    <row r="225" ht="12.75">
      <c r="M225" s="243"/>
    </row>
    <row r="226" ht="12.75">
      <c r="M226" s="243"/>
    </row>
    <row r="227" ht="12.75">
      <c r="M227" s="243"/>
    </row>
    <row r="228" ht="12.75">
      <c r="M228" s="243"/>
    </row>
    <row r="229" ht="12.75">
      <c r="M229" s="243"/>
    </row>
    <row r="230" ht="12.75">
      <c r="M230" s="243"/>
    </row>
    <row r="231" ht="12.75">
      <c r="M231" s="243"/>
    </row>
    <row r="232" ht="12.75">
      <c r="M232" s="243"/>
    </row>
    <row r="233" ht="12.75">
      <c r="M233" s="243"/>
    </row>
    <row r="234" ht="12.75">
      <c r="M234" s="243"/>
    </row>
    <row r="235" ht="12.75">
      <c r="M235" s="243"/>
    </row>
    <row r="236" ht="12.75">
      <c r="M236" s="243"/>
    </row>
    <row r="237" ht="12.75">
      <c r="M237" s="243"/>
    </row>
  </sheetData>
  <sheetProtection/>
  <mergeCells count="6">
    <mergeCell ref="B1:M1"/>
    <mergeCell ref="B2:M2"/>
    <mergeCell ref="B3:M3"/>
    <mergeCell ref="B4:M4"/>
    <mergeCell ref="B5:M5"/>
    <mergeCell ref="A6:AB6"/>
  </mergeCells>
  <printOptions/>
  <pageMargins left="0.75" right="0.75" top="1" bottom="1" header="0.5" footer="0.5"/>
  <pageSetup horizontalDpi="600" verticalDpi="600" orientation="landscape" scale="60" r:id="rId1"/>
  <headerFooter alignWithMargins="0">
    <oddFooter>&amp;L"&amp;F"&amp;R&amp;"Arial,Italic"&amp;A</oddFooter>
  </headerFooter>
</worksheet>
</file>

<file path=xl/worksheets/sheet16.xml><?xml version="1.0" encoding="utf-8"?>
<worksheet xmlns="http://schemas.openxmlformats.org/spreadsheetml/2006/main" xmlns:r="http://schemas.openxmlformats.org/officeDocument/2006/relationships">
  <dimension ref="A1:AO111"/>
  <sheetViews>
    <sheetView zoomScale="85" zoomScaleNormal="85" zoomScaleSheetLayoutView="85" zoomScalePageLayoutView="0" workbookViewId="0" topLeftCell="A1">
      <selection activeCell="G15" sqref="G15"/>
    </sheetView>
  </sheetViews>
  <sheetFormatPr defaultColWidth="9.140625" defaultRowHeight="12.75"/>
  <cols>
    <col min="1" max="1" width="16.00390625" style="531" bestFit="1" customWidth="1"/>
    <col min="2" max="2" width="21.7109375" style="533" bestFit="1" customWidth="1"/>
    <col min="3" max="3" width="15.28125" style="533" bestFit="1" customWidth="1"/>
    <col min="4" max="4" width="15.28125" style="536" bestFit="1" customWidth="1"/>
    <col min="5" max="5" width="7.28125" style="536" bestFit="1" customWidth="1"/>
    <col min="6" max="6" width="13.421875" style="533" bestFit="1" customWidth="1"/>
    <col min="7" max="9" width="11.7109375" style="533" customWidth="1"/>
    <col min="10" max="10" width="15.8515625" style="532" bestFit="1" customWidth="1"/>
    <col min="11" max="11" width="3.421875" style="532" customWidth="1"/>
    <col min="12" max="12" width="5.8515625" style="533" hidden="1" customWidth="1"/>
    <col min="13" max="13" width="12.28125" style="532" hidden="1" customWidth="1"/>
    <col min="14" max="15" width="16.140625" style="532" hidden="1" customWidth="1"/>
    <col min="16" max="21" width="12.28125" style="532" hidden="1" customWidth="1"/>
    <col min="22" max="22" width="12.28125" style="534" hidden="1" customWidth="1"/>
    <col min="23" max="24" width="12.28125" style="532" hidden="1" customWidth="1"/>
    <col min="25" max="26" width="11.28125" style="532" hidden="1" customWidth="1"/>
    <col min="27" max="36" width="12.28125" style="532" hidden="1" customWidth="1"/>
    <col min="37" max="41" width="0" style="532" hidden="1" customWidth="1"/>
    <col min="42" max="16384" width="9.140625" style="532" customWidth="1"/>
  </cols>
  <sheetData>
    <row r="1" spans="2:10" ht="21.75" customHeight="1">
      <c r="B1" s="694" t="s">
        <v>182</v>
      </c>
      <c r="C1" s="694"/>
      <c r="D1" s="694"/>
      <c r="E1" s="694"/>
      <c r="F1" s="694"/>
      <c r="G1" s="694"/>
      <c r="H1" s="694"/>
      <c r="I1" s="694"/>
      <c r="J1" s="694"/>
    </row>
    <row r="2" spans="2:10" ht="18">
      <c r="B2" s="695" t="s">
        <v>264</v>
      </c>
      <c r="C2" s="695"/>
      <c r="D2" s="695"/>
      <c r="E2" s="695"/>
      <c r="F2" s="695"/>
      <c r="G2" s="695"/>
      <c r="H2" s="695"/>
      <c r="I2" s="695"/>
      <c r="J2" s="695"/>
    </row>
    <row r="3" spans="2:10" ht="15.75">
      <c r="B3" s="696" t="s">
        <v>183</v>
      </c>
      <c r="C3" s="696"/>
      <c r="D3" s="696"/>
      <c r="E3" s="696"/>
      <c r="F3" s="696"/>
      <c r="G3" s="696"/>
      <c r="H3" s="696"/>
      <c r="I3" s="696"/>
      <c r="J3" s="696"/>
    </row>
    <row r="4" spans="2:10" ht="14.25" customHeight="1">
      <c r="B4" s="697" t="s">
        <v>171</v>
      </c>
      <c r="C4" s="697"/>
      <c r="D4" s="697"/>
      <c r="E4" s="697"/>
      <c r="F4" s="697"/>
      <c r="G4" s="697"/>
      <c r="H4" s="697"/>
      <c r="I4" s="697"/>
      <c r="J4" s="697"/>
    </row>
    <row r="5" spans="2:10" ht="12.75">
      <c r="B5" s="698" t="s">
        <v>184</v>
      </c>
      <c r="C5" s="698"/>
      <c r="D5" s="698"/>
      <c r="E5" s="698"/>
      <c r="F5" s="698"/>
      <c r="G5" s="698"/>
      <c r="H5" s="698"/>
      <c r="I5" s="698"/>
      <c r="J5" s="698"/>
    </row>
    <row r="6" ht="7.5" customHeight="1">
      <c r="B6" s="535"/>
    </row>
    <row r="7" spans="2:10" ht="15.75">
      <c r="B7" s="692" t="s">
        <v>185</v>
      </c>
      <c r="C7" s="692"/>
      <c r="D7" s="692"/>
      <c r="E7" s="692"/>
      <c r="F7" s="692"/>
      <c r="G7" s="692"/>
      <c r="H7" s="692"/>
      <c r="I7" s="692"/>
      <c r="J7" s="692"/>
    </row>
    <row r="8" spans="2:9" ht="9.75" customHeight="1">
      <c r="B8" s="537"/>
      <c r="C8" s="537"/>
      <c r="D8" s="537"/>
      <c r="E8" s="537"/>
      <c r="F8" s="537"/>
      <c r="G8" s="537"/>
      <c r="H8" s="537"/>
      <c r="I8" s="537"/>
    </row>
    <row r="9" spans="1:22" s="533" customFormat="1" ht="14.25">
      <c r="A9" s="531"/>
      <c r="B9" s="538" t="s">
        <v>186</v>
      </c>
      <c r="C9" s="539">
        <v>2005</v>
      </c>
      <c r="D9" s="540">
        <v>2006</v>
      </c>
      <c r="E9" s="540">
        <v>2007</v>
      </c>
      <c r="F9" s="539" t="s">
        <v>187</v>
      </c>
      <c r="G9" s="541" t="s">
        <v>91</v>
      </c>
      <c r="H9" s="541" t="s">
        <v>92</v>
      </c>
      <c r="I9" s="541" t="s">
        <v>188</v>
      </c>
      <c r="J9" s="542" t="s">
        <v>265</v>
      </c>
      <c r="P9" s="543"/>
      <c r="V9" s="544"/>
    </row>
    <row r="10" spans="1:22" s="533" customFormat="1" ht="12.75">
      <c r="A10" s="531"/>
      <c r="B10" s="545" t="s">
        <v>60</v>
      </c>
      <c r="C10" s="546">
        <v>0.516</v>
      </c>
      <c r="D10" s="546">
        <v>0.5400204118909377</v>
      </c>
      <c r="E10" s="546">
        <v>0.4767947157308966</v>
      </c>
      <c r="F10" s="547">
        <v>2194</v>
      </c>
      <c r="G10" s="546">
        <f aca="true" t="shared" si="0" ref="G10:H12">+D10/C10</f>
        <v>1.0465511858351506</v>
      </c>
      <c r="H10" s="546">
        <f t="shared" si="0"/>
        <v>0.8829198030892021</v>
      </c>
      <c r="I10" s="548">
        <f>+E10/C10</f>
        <v>0.9240207669203422</v>
      </c>
      <c r="J10" s="546">
        <f>((E10/C10)^0.5)-1</f>
        <v>-0.03874001075653721</v>
      </c>
      <c r="P10" s="543"/>
      <c r="V10" s="544"/>
    </row>
    <row r="11" spans="1:22" s="533" customFormat="1" ht="12.75">
      <c r="A11" s="531"/>
      <c r="B11" s="549" t="s">
        <v>61</v>
      </c>
      <c r="C11" s="550">
        <v>0.599</v>
      </c>
      <c r="D11" s="550">
        <v>0.6514300393896574</v>
      </c>
      <c r="E11" s="550">
        <v>0.6328124929633455</v>
      </c>
      <c r="F11" s="551">
        <v>1093</v>
      </c>
      <c r="G11" s="550">
        <f t="shared" si="0"/>
        <v>1.0875292811179589</v>
      </c>
      <c r="H11" s="550">
        <f t="shared" si="0"/>
        <v>0.9714204975199561</v>
      </c>
      <c r="I11" s="552">
        <f>+E11/C11</f>
        <v>1.0564482353311277</v>
      </c>
      <c r="J11" s="550">
        <f>((E11/C11)^0.5)-1</f>
        <v>0.027836677362278017</v>
      </c>
      <c r="L11" s="553" t="s">
        <v>237</v>
      </c>
      <c r="M11" s="554">
        <v>649406316.3514838</v>
      </c>
      <c r="N11" s="554">
        <v>499912819</v>
      </c>
      <c r="O11" s="544">
        <f>SUM(N$11:N11)/SUM(M$11:M11)</f>
        <v>0.7697997484974074</v>
      </c>
      <c r="P11" s="543"/>
      <c r="V11" s="544"/>
    </row>
    <row r="12" spans="1:22" s="533" customFormat="1" ht="12.75">
      <c r="A12" s="531"/>
      <c r="B12" s="555" t="s">
        <v>189</v>
      </c>
      <c r="C12" s="556">
        <v>0.808</v>
      </c>
      <c r="D12" s="556">
        <v>0.7577294967161184</v>
      </c>
      <c r="E12" s="556">
        <v>0.7556049311432855</v>
      </c>
      <c r="F12" s="557">
        <v>2687</v>
      </c>
      <c r="G12" s="558">
        <f t="shared" si="0"/>
        <v>0.9377840305892554</v>
      </c>
      <c r="H12" s="558">
        <f t="shared" si="0"/>
        <v>0.9971961424465585</v>
      </c>
      <c r="I12" s="559">
        <f>+E12/C12</f>
        <v>0.9351546177515909</v>
      </c>
      <c r="J12" s="558">
        <f>((E12/C12)^0.5)-1</f>
        <v>-0.03296607207834179</v>
      </c>
      <c r="L12" s="560" t="s">
        <v>238</v>
      </c>
      <c r="M12" s="561">
        <v>264781602.50335497</v>
      </c>
      <c r="N12" s="562">
        <v>230089391</v>
      </c>
      <c r="O12" s="544">
        <f>SUM(N$11:N12)/SUM(M$11:M12)</f>
        <v>0.7985253304533275</v>
      </c>
      <c r="V12" s="544"/>
    </row>
    <row r="13" spans="1:22" s="533" customFormat="1" ht="12.75">
      <c r="A13" s="531"/>
      <c r="B13" s="563"/>
      <c r="C13" s="564"/>
      <c r="D13" s="565"/>
      <c r="E13" s="565"/>
      <c r="F13" s="564"/>
      <c r="G13" s="566"/>
      <c r="H13" s="566"/>
      <c r="I13" s="566"/>
      <c r="L13" s="560" t="s">
        <v>239</v>
      </c>
      <c r="M13" s="561">
        <v>73335666.70028298</v>
      </c>
      <c r="N13" s="562">
        <v>68434379</v>
      </c>
      <c r="O13" s="544">
        <f>SUM(N$11:N13)/SUM(M$11:M13)</f>
        <v>0.8085240703908562</v>
      </c>
      <c r="P13" s="543"/>
      <c r="V13" s="544"/>
    </row>
    <row r="14" spans="2:17" ht="17.25" customHeight="1">
      <c r="B14" s="692" t="s">
        <v>190</v>
      </c>
      <c r="C14" s="692"/>
      <c r="D14" s="692"/>
      <c r="E14" s="692"/>
      <c r="F14" s="692"/>
      <c r="G14" s="692"/>
      <c r="H14" s="692"/>
      <c r="I14" s="692"/>
      <c r="J14" s="692"/>
      <c r="L14" s="560" t="s">
        <v>240</v>
      </c>
      <c r="M14" s="561">
        <v>1546480.746299</v>
      </c>
      <c r="N14" s="562">
        <v>700000</v>
      </c>
      <c r="O14" s="544">
        <f>SUM(N$11:N14)/SUM(M$11:M14)</f>
        <v>0.807967621533965</v>
      </c>
      <c r="P14" s="543"/>
      <c r="Q14" s="533"/>
    </row>
    <row r="15" spans="1:22" s="533" customFormat="1" ht="15" customHeight="1">
      <c r="A15" s="531"/>
      <c r="B15" s="537"/>
      <c r="C15" s="537"/>
      <c r="D15" s="537"/>
      <c r="E15" s="537"/>
      <c r="F15" s="537"/>
      <c r="G15" s="531"/>
      <c r="H15" s="531"/>
      <c r="I15" s="531"/>
      <c r="L15" s="560" t="s">
        <v>241</v>
      </c>
      <c r="M15" s="561">
        <v>344055.42347400007</v>
      </c>
      <c r="N15" s="562">
        <v>100000</v>
      </c>
      <c r="O15" s="544">
        <f>SUM(N$11:N15)/SUM(M$11:M15)</f>
        <v>0.8077877315988286</v>
      </c>
      <c r="P15" s="543"/>
      <c r="V15" s="544"/>
    </row>
    <row r="16" spans="1:22" s="533" customFormat="1" ht="14.25">
      <c r="A16" s="531"/>
      <c r="B16" s="538" t="s">
        <v>186</v>
      </c>
      <c r="C16" s="539">
        <v>2005</v>
      </c>
      <c r="D16" s="540">
        <v>2006</v>
      </c>
      <c r="E16" s="540">
        <v>2007</v>
      </c>
      <c r="F16" s="539" t="s">
        <v>187</v>
      </c>
      <c r="G16" s="541" t="s">
        <v>91</v>
      </c>
      <c r="H16" s="541" t="s">
        <v>92</v>
      </c>
      <c r="I16" s="541" t="s">
        <v>188</v>
      </c>
      <c r="J16" s="542" t="s">
        <v>265</v>
      </c>
      <c r="M16" s="536">
        <f>SUM(M11:M15)</f>
        <v>989414121.7248948</v>
      </c>
      <c r="N16" s="536">
        <f>SUM(N11:N15)</f>
        <v>799236589</v>
      </c>
      <c r="V16" s="544"/>
    </row>
    <row r="17" spans="1:22" s="533" customFormat="1" ht="12.75">
      <c r="A17" s="531"/>
      <c r="B17" s="545" t="s">
        <v>60</v>
      </c>
      <c r="C17" s="546">
        <v>0.785</v>
      </c>
      <c r="D17" s="546">
        <v>0.6511170181292268</v>
      </c>
      <c r="E17" s="546">
        <v>0.6833093503563816</v>
      </c>
      <c r="F17" s="547">
        <v>492</v>
      </c>
      <c r="G17" s="546">
        <f>+D17/C17</f>
        <v>0.8294484307378686</v>
      </c>
      <c r="H17" s="546">
        <f>+E17/D17</f>
        <v>1.04944169992615</v>
      </c>
      <c r="I17" s="546">
        <f>+E17/C17</f>
        <v>0.8704577711546262</v>
      </c>
      <c r="J17" s="546">
        <f>((E17/C17)^0.5)-1</f>
        <v>-0.06701673586573575</v>
      </c>
      <c r="M17" s="544">
        <f>N16/M16</f>
        <v>0.8077877315988286</v>
      </c>
      <c r="V17" s="544"/>
    </row>
    <row r="18" spans="1:22" s="533" customFormat="1" ht="12.75">
      <c r="A18" s="531"/>
      <c r="B18" s="555" t="s">
        <v>62</v>
      </c>
      <c r="C18" s="558">
        <v>1.017</v>
      </c>
      <c r="D18" s="558">
        <v>0.8848321553411531</v>
      </c>
      <c r="E18" s="558">
        <v>0.8611847472355864</v>
      </c>
      <c r="F18" s="567">
        <v>429</v>
      </c>
      <c r="G18" s="558">
        <f>+D18/C18</f>
        <v>0.8700414506796</v>
      </c>
      <c r="H18" s="558">
        <f>+E18/D18</f>
        <v>0.9732746962654749</v>
      </c>
      <c r="I18" s="558">
        <f>+E18/C18</f>
        <v>0.8467893286485609</v>
      </c>
      <c r="J18" s="558">
        <f>((E18/C18)^0.5)-1</f>
        <v>-0.07978843266965996</v>
      </c>
      <c r="V18" s="544"/>
    </row>
    <row r="19" spans="1:22" s="533" customFormat="1" ht="12.75">
      <c r="A19" s="531"/>
      <c r="B19" s="568"/>
      <c r="C19" s="569"/>
      <c r="D19" s="570"/>
      <c r="E19" s="570"/>
      <c r="F19" s="571"/>
      <c r="G19" s="570"/>
      <c r="H19" s="570"/>
      <c r="I19" s="570"/>
      <c r="V19" s="544"/>
    </row>
    <row r="20" spans="1:25" s="533" customFormat="1" ht="12.75">
      <c r="A20" s="531"/>
      <c r="B20" s="568"/>
      <c r="C20" s="570"/>
      <c r="D20" s="570"/>
      <c r="E20" s="570"/>
      <c r="F20" s="572"/>
      <c r="G20" s="570"/>
      <c r="H20" s="570"/>
      <c r="I20" s="570"/>
      <c r="M20" s="533">
        <v>2</v>
      </c>
      <c r="P20" s="573"/>
      <c r="Q20" s="573"/>
      <c r="R20" s="573"/>
      <c r="S20" s="533">
        <v>3</v>
      </c>
      <c r="V20" s="544"/>
      <c r="Y20" s="533">
        <v>4</v>
      </c>
    </row>
    <row r="21" spans="1:35" s="533" customFormat="1" ht="15.75">
      <c r="A21" s="531"/>
      <c r="B21" s="692" t="s">
        <v>191</v>
      </c>
      <c r="C21" s="692"/>
      <c r="D21" s="692"/>
      <c r="E21" s="692"/>
      <c r="F21" s="692"/>
      <c r="G21" s="692"/>
      <c r="H21" s="692"/>
      <c r="I21" s="692"/>
      <c r="J21" s="692"/>
      <c r="M21" s="533">
        <v>2005</v>
      </c>
      <c r="O21" s="533">
        <v>2006</v>
      </c>
      <c r="Q21" s="533">
        <v>2007</v>
      </c>
      <c r="S21" s="533">
        <v>2005</v>
      </c>
      <c r="U21" s="533">
        <v>2006</v>
      </c>
      <c r="W21" s="533">
        <v>2007</v>
      </c>
      <c r="Y21" s="533">
        <v>2005</v>
      </c>
      <c r="AA21" s="533">
        <v>2006</v>
      </c>
      <c r="AC21" s="533">
        <v>2007</v>
      </c>
      <c r="AE21" s="533">
        <v>2005</v>
      </c>
      <c r="AG21" s="533">
        <v>2006</v>
      </c>
      <c r="AI21" s="533">
        <v>2007</v>
      </c>
    </row>
    <row r="22" spans="1:36" s="533" customFormat="1" ht="15.75">
      <c r="A22" s="531"/>
      <c r="B22" s="537"/>
      <c r="C22" s="537"/>
      <c r="D22" s="537"/>
      <c r="E22" s="537"/>
      <c r="F22" s="537"/>
      <c r="G22" s="537"/>
      <c r="H22" s="537"/>
      <c r="I22" s="537"/>
      <c r="M22" s="533" t="s">
        <v>235</v>
      </c>
      <c r="N22" s="533" t="s">
        <v>236</v>
      </c>
      <c r="O22" s="533" t="s">
        <v>235</v>
      </c>
      <c r="P22" s="533" t="s">
        <v>236</v>
      </c>
      <c r="Q22" s="533" t="s">
        <v>235</v>
      </c>
      <c r="R22" s="533" t="s">
        <v>236</v>
      </c>
      <c r="S22" s="533" t="s">
        <v>235</v>
      </c>
      <c r="T22" s="533" t="s">
        <v>236</v>
      </c>
      <c r="U22" s="533" t="s">
        <v>235</v>
      </c>
      <c r="V22" s="533" t="s">
        <v>236</v>
      </c>
      <c r="W22" s="533" t="s">
        <v>235</v>
      </c>
      <c r="X22" s="533" t="s">
        <v>236</v>
      </c>
      <c r="Y22" s="533" t="s">
        <v>235</v>
      </c>
      <c r="Z22" s="533" t="s">
        <v>236</v>
      </c>
      <c r="AA22" s="533" t="s">
        <v>235</v>
      </c>
      <c r="AB22" s="533" t="s">
        <v>236</v>
      </c>
      <c r="AC22" s="533" t="s">
        <v>235</v>
      </c>
      <c r="AD22" s="533" t="s">
        <v>236</v>
      </c>
      <c r="AE22" s="533" t="s">
        <v>235</v>
      </c>
      <c r="AF22" s="533" t="s">
        <v>236</v>
      </c>
      <c r="AG22" s="533" t="s">
        <v>235</v>
      </c>
      <c r="AH22" s="533" t="s">
        <v>236</v>
      </c>
      <c r="AI22" s="533" t="s">
        <v>235</v>
      </c>
      <c r="AJ22" s="533" t="s">
        <v>236</v>
      </c>
    </row>
    <row r="23" spans="1:10" s="533" customFormat="1" ht="14.25">
      <c r="A23" s="531"/>
      <c r="B23" s="538" t="s">
        <v>186</v>
      </c>
      <c r="C23" s="539">
        <v>2005</v>
      </c>
      <c r="D23" s="540">
        <v>2006</v>
      </c>
      <c r="E23" s="540">
        <v>2007</v>
      </c>
      <c r="F23" s="539" t="s">
        <v>187</v>
      </c>
      <c r="G23" s="541" t="s">
        <v>91</v>
      </c>
      <c r="H23" s="541" t="s">
        <v>92</v>
      </c>
      <c r="I23" s="541" t="s">
        <v>188</v>
      </c>
      <c r="J23" s="542" t="s">
        <v>265</v>
      </c>
    </row>
    <row r="24" spans="1:41" s="533" customFormat="1" ht="12.75">
      <c r="A24" s="531"/>
      <c r="B24" s="545" t="s">
        <v>60</v>
      </c>
      <c r="C24" s="546">
        <v>0.5107729314341148</v>
      </c>
      <c r="D24" s="546">
        <v>0.5317765873096075</v>
      </c>
      <c r="E24" s="546">
        <v>0.4767662371898091</v>
      </c>
      <c r="F24" s="547">
        <v>1775</v>
      </c>
      <c r="G24" s="546">
        <f aca="true" t="shared" si="1" ref="G24:H26">+D24/C24</f>
        <v>1.0411213174835243</v>
      </c>
      <c r="H24" s="546">
        <f t="shared" si="1"/>
        <v>0.8965536440817943</v>
      </c>
      <c r="I24" s="548">
        <f>+E24/C24</f>
        <v>0.9334211111210925</v>
      </c>
      <c r="J24" s="546">
        <f>((E24/C24)^0.5)-1</f>
        <v>-0.03386278866762793</v>
      </c>
      <c r="L24" s="572"/>
      <c r="M24" s="554">
        <v>579800336.0433291</v>
      </c>
      <c r="N24" s="554">
        <v>306076059</v>
      </c>
      <c r="O24" s="554">
        <v>534056452.25694174</v>
      </c>
      <c r="P24" s="554">
        <v>297223106</v>
      </c>
      <c r="Q24" s="554">
        <v>553894170.8228807</v>
      </c>
      <c r="R24" s="554">
        <v>288470380</v>
      </c>
      <c r="S24" s="574">
        <v>209642271.3854399</v>
      </c>
      <c r="T24" s="554">
        <v>96774006</v>
      </c>
      <c r="U24" s="574">
        <v>257169052.19265005</v>
      </c>
      <c r="V24" s="554">
        <v>135775129</v>
      </c>
      <c r="W24" s="574">
        <v>310665832.9867795</v>
      </c>
      <c r="X24" s="554">
        <v>117139808</v>
      </c>
      <c r="Y24" s="574">
        <v>63598678.01413995</v>
      </c>
      <c r="Z24" s="554">
        <v>32860333</v>
      </c>
      <c r="AA24" s="574">
        <v>100237651.90783015</v>
      </c>
      <c r="AB24" s="554">
        <v>41061000</v>
      </c>
      <c r="AC24" s="574">
        <v>133111708.0205398</v>
      </c>
      <c r="AD24" s="554">
        <v>70046000</v>
      </c>
      <c r="AE24" s="536">
        <f aca="true" t="shared" si="2" ref="AE24:AJ26">M24+S24+Y24</f>
        <v>853041285.442909</v>
      </c>
      <c r="AF24" s="536">
        <f t="shared" si="2"/>
        <v>435710398</v>
      </c>
      <c r="AG24" s="536">
        <f t="shared" si="2"/>
        <v>891463156.3574219</v>
      </c>
      <c r="AH24" s="536">
        <f t="shared" si="2"/>
        <v>474059235</v>
      </c>
      <c r="AI24" s="536">
        <f t="shared" si="2"/>
        <v>997671711.8302</v>
      </c>
      <c r="AJ24" s="536">
        <f t="shared" si="2"/>
        <v>475656188</v>
      </c>
      <c r="AK24" s="544">
        <f>AF24/AE24</f>
        <v>0.5107729314341146</v>
      </c>
      <c r="AM24" s="544">
        <f>AH24/AG24</f>
        <v>0.5317765873096065</v>
      </c>
      <c r="AO24" s="544">
        <f>AJ24/AI24</f>
        <v>0.4767662371898091</v>
      </c>
    </row>
    <row r="25" spans="1:41" s="533" customFormat="1" ht="12.75">
      <c r="A25" s="531"/>
      <c r="B25" s="549" t="s">
        <v>61</v>
      </c>
      <c r="C25" s="550">
        <v>0.5779671585957551</v>
      </c>
      <c r="D25" s="550">
        <v>0.6147341447072692</v>
      </c>
      <c r="E25" s="550">
        <v>0.6051524773214926</v>
      </c>
      <c r="F25" s="551">
        <v>796</v>
      </c>
      <c r="G25" s="550">
        <f t="shared" si="1"/>
        <v>1.063614317119409</v>
      </c>
      <c r="H25" s="550">
        <f t="shared" si="1"/>
        <v>0.9844133151407438</v>
      </c>
      <c r="I25" s="552">
        <f>+E25/C25</f>
        <v>1.0470360959466758</v>
      </c>
      <c r="J25" s="550">
        <f>((E25/C25)^0.5)-1</f>
        <v>0.023247817464897347</v>
      </c>
      <c r="L25" s="572"/>
      <c r="N25" s="575"/>
      <c r="P25" s="573"/>
      <c r="Q25" s="573"/>
      <c r="R25" s="573"/>
      <c r="S25" s="576">
        <v>202042015.30514017</v>
      </c>
      <c r="T25" s="577">
        <v>113795913</v>
      </c>
      <c r="U25" s="576">
        <v>227803199.51140898</v>
      </c>
      <c r="V25" s="577">
        <v>129392555</v>
      </c>
      <c r="W25" s="576">
        <v>278437652.0540495</v>
      </c>
      <c r="X25" s="577">
        <v>155260198</v>
      </c>
      <c r="Y25" s="574">
        <v>91776433.50186984</v>
      </c>
      <c r="Z25" s="554">
        <v>56021501</v>
      </c>
      <c r="AA25" s="574">
        <v>158092832.19992977</v>
      </c>
      <c r="AB25" s="554">
        <v>107830912</v>
      </c>
      <c r="AC25" s="574">
        <v>207370816.08813018</v>
      </c>
      <c r="AD25" s="554">
        <v>138728000</v>
      </c>
      <c r="AE25" s="536">
        <f t="shared" si="2"/>
        <v>293818448.80701</v>
      </c>
      <c r="AF25" s="536">
        <f t="shared" si="2"/>
        <v>169817414</v>
      </c>
      <c r="AG25" s="536">
        <f t="shared" si="2"/>
        <v>385896031.71133876</v>
      </c>
      <c r="AH25" s="536">
        <f t="shared" si="2"/>
        <v>237223467</v>
      </c>
      <c r="AI25" s="536">
        <f t="shared" si="2"/>
        <v>485808468.14217967</v>
      </c>
      <c r="AJ25" s="536">
        <f t="shared" si="2"/>
        <v>293988198</v>
      </c>
      <c r="AK25" s="544">
        <f aca="true" t="shared" si="3" ref="AK25:AO26">AF25/AE25</f>
        <v>0.5779671585957554</v>
      </c>
      <c r="AM25" s="544">
        <f t="shared" si="3"/>
        <v>0.6147341447072716</v>
      </c>
      <c r="AO25" s="544">
        <f t="shared" si="3"/>
        <v>0.6051524773214938</v>
      </c>
    </row>
    <row r="26" spans="1:41" s="533" customFormat="1" ht="12.75">
      <c r="A26" s="531"/>
      <c r="B26" s="555" t="s">
        <v>189</v>
      </c>
      <c r="C26" s="556">
        <v>0.8128113068290503</v>
      </c>
      <c r="D26" s="558">
        <v>0.7425182959304132</v>
      </c>
      <c r="E26" s="558">
        <v>0.7784544190542553</v>
      </c>
      <c r="F26" s="557">
        <v>1901</v>
      </c>
      <c r="G26" s="558">
        <f t="shared" si="1"/>
        <v>0.9135186601022258</v>
      </c>
      <c r="H26" s="558">
        <f t="shared" si="1"/>
        <v>1.048397626456884</v>
      </c>
      <c r="I26" s="559">
        <f>+E26/C26</f>
        <v>0.9577307949752464</v>
      </c>
      <c r="J26" s="558">
        <f>((E26/C26)^0.5)-1</f>
        <v>-0.02136278684323145</v>
      </c>
      <c r="L26" s="572"/>
      <c r="M26" s="577">
        <v>358201682.1724819</v>
      </c>
      <c r="N26" s="577">
        <v>287594102</v>
      </c>
      <c r="O26" s="577">
        <v>355437431.53057045</v>
      </c>
      <c r="P26" s="577">
        <v>262314000</v>
      </c>
      <c r="Q26" s="577">
        <v>379637001.7512199</v>
      </c>
      <c r="R26" s="577">
        <v>290365757</v>
      </c>
      <c r="S26" s="576">
        <v>186716232.16540986</v>
      </c>
      <c r="T26" s="577">
        <v>151708140</v>
      </c>
      <c r="U26" s="576">
        <v>230073556.50959083</v>
      </c>
      <c r="V26" s="577">
        <v>167300536</v>
      </c>
      <c r="W26" s="576">
        <v>291491446.6741996</v>
      </c>
      <c r="X26" s="577">
        <v>229924206</v>
      </c>
      <c r="Y26" s="574">
        <v>18989284.232120022</v>
      </c>
      <c r="Z26" s="554">
        <v>19047905</v>
      </c>
      <c r="AA26" s="574">
        <v>30577583.119939957</v>
      </c>
      <c r="AB26" s="554">
        <v>27842500</v>
      </c>
      <c r="AC26" s="574">
        <v>41002958.92594993</v>
      </c>
      <c r="AD26" s="554">
        <v>34071878</v>
      </c>
      <c r="AE26" s="536">
        <f t="shared" si="2"/>
        <v>563907198.5700119</v>
      </c>
      <c r="AF26" s="536">
        <f t="shared" si="2"/>
        <v>458350147</v>
      </c>
      <c r="AG26" s="536">
        <f t="shared" si="2"/>
        <v>616088571.1601012</v>
      </c>
      <c r="AH26" s="536">
        <f t="shared" si="2"/>
        <v>457457036</v>
      </c>
      <c r="AI26" s="536">
        <f t="shared" si="2"/>
        <v>712131407.3513695</v>
      </c>
      <c r="AJ26" s="536">
        <f t="shared" si="2"/>
        <v>554361841</v>
      </c>
      <c r="AK26" s="544">
        <f t="shared" si="3"/>
        <v>0.8128113068290501</v>
      </c>
      <c r="AM26" s="544">
        <f t="shared" si="3"/>
        <v>0.7425182959304109</v>
      </c>
      <c r="AO26" s="544">
        <f t="shared" si="3"/>
        <v>0.7784544190542559</v>
      </c>
    </row>
    <row r="27" spans="1:30" s="533" customFormat="1" ht="12.75">
      <c r="A27" s="531"/>
      <c r="B27" s="568"/>
      <c r="C27" s="570"/>
      <c r="D27" s="570"/>
      <c r="E27" s="570"/>
      <c r="F27" s="572"/>
      <c r="G27" s="570"/>
      <c r="H27" s="570"/>
      <c r="I27" s="570"/>
      <c r="P27" s="573"/>
      <c r="Q27" s="573"/>
      <c r="R27" s="573"/>
      <c r="V27" s="573"/>
      <c r="W27" s="573"/>
      <c r="X27" s="573"/>
      <c r="Y27" s="574"/>
      <c r="Z27" s="554"/>
      <c r="AA27" s="574"/>
      <c r="AB27" s="554"/>
      <c r="AC27" s="574"/>
      <c r="AD27" s="554"/>
    </row>
    <row r="28" spans="1:30" s="533" customFormat="1" ht="12.75">
      <c r="A28" s="531"/>
      <c r="B28" s="563"/>
      <c r="C28" s="564"/>
      <c r="D28" s="565"/>
      <c r="E28" s="565"/>
      <c r="F28" s="564"/>
      <c r="G28" s="566"/>
      <c r="H28" s="566"/>
      <c r="I28" s="566"/>
      <c r="L28" s="572"/>
      <c r="P28" s="573"/>
      <c r="Q28" s="573"/>
      <c r="R28" s="573"/>
      <c r="V28" s="573"/>
      <c r="W28" s="573"/>
      <c r="X28" s="573"/>
      <c r="Y28" s="574"/>
      <c r="Z28" s="554"/>
      <c r="AA28" s="574"/>
      <c r="AB28" s="554"/>
      <c r="AC28" s="574"/>
      <c r="AD28" s="554"/>
    </row>
    <row r="29" spans="1:30" s="533" customFormat="1" ht="23.25" customHeight="1">
      <c r="A29" s="531"/>
      <c r="B29" s="692" t="s">
        <v>192</v>
      </c>
      <c r="C29" s="692"/>
      <c r="D29" s="692"/>
      <c r="E29" s="692"/>
      <c r="F29" s="692"/>
      <c r="G29" s="692"/>
      <c r="H29" s="692"/>
      <c r="I29" s="692"/>
      <c r="J29" s="692"/>
      <c r="L29" s="572"/>
      <c r="P29" s="573"/>
      <c r="Q29" s="573"/>
      <c r="R29" s="573"/>
      <c r="V29" s="573"/>
      <c r="W29" s="573"/>
      <c r="X29" s="573"/>
      <c r="Y29" s="574"/>
      <c r="Z29" s="554"/>
      <c r="AA29" s="574"/>
      <c r="AB29" s="554"/>
      <c r="AC29" s="574"/>
      <c r="AD29" s="554"/>
    </row>
    <row r="30" spans="1:24" s="533" customFormat="1" ht="15.75">
      <c r="A30" s="531"/>
      <c r="B30" s="537"/>
      <c r="C30" s="537"/>
      <c r="D30" s="537"/>
      <c r="E30" s="537"/>
      <c r="F30" s="537"/>
      <c r="G30" s="531"/>
      <c r="H30" s="531"/>
      <c r="I30" s="531"/>
      <c r="L30" s="572"/>
      <c r="P30" s="573"/>
      <c r="Q30" s="573"/>
      <c r="R30" s="573"/>
      <c r="V30" s="573"/>
      <c r="W30" s="573"/>
      <c r="X30" s="573"/>
    </row>
    <row r="31" spans="1:24" s="533" customFormat="1" ht="14.25">
      <c r="A31" s="531"/>
      <c r="B31" s="538" t="s">
        <v>186</v>
      </c>
      <c r="C31" s="539">
        <v>2005</v>
      </c>
      <c r="D31" s="540">
        <v>2006</v>
      </c>
      <c r="E31" s="540">
        <v>2007</v>
      </c>
      <c r="F31" s="539" t="s">
        <v>187</v>
      </c>
      <c r="G31" s="541" t="s">
        <v>91</v>
      </c>
      <c r="H31" s="541" t="s">
        <v>92</v>
      </c>
      <c r="I31" s="541" t="s">
        <v>188</v>
      </c>
      <c r="J31" s="542" t="s">
        <v>265</v>
      </c>
      <c r="P31" s="573"/>
      <c r="Q31" s="573"/>
      <c r="R31" s="573"/>
      <c r="V31" s="573"/>
      <c r="W31" s="573"/>
      <c r="X31" s="573"/>
    </row>
    <row r="32" spans="1:24" s="533" customFormat="1" ht="12.75">
      <c r="A32" s="531"/>
      <c r="B32" s="545" t="s">
        <v>60</v>
      </c>
      <c r="C32" s="546">
        <v>0.7410098550726986</v>
      </c>
      <c r="D32" s="546">
        <v>0.6241836384203951</v>
      </c>
      <c r="E32" s="546">
        <v>0.650002798798379</v>
      </c>
      <c r="F32" s="547">
        <v>341</v>
      </c>
      <c r="G32" s="546">
        <f>+D32/C32</f>
        <v>0.8423418853979453</v>
      </c>
      <c r="H32" s="546">
        <f>+E32/D32</f>
        <v>1.041364686269771</v>
      </c>
      <c r="I32" s="546">
        <f>+E32/C32</f>
        <v>0.8771850932193187</v>
      </c>
      <c r="J32" s="546">
        <f>((E32/C32)^0.5)-1</f>
        <v>-0.06341840012772049</v>
      </c>
      <c r="L32" s="572"/>
      <c r="P32" s="573"/>
      <c r="Q32" s="573"/>
      <c r="R32" s="573"/>
      <c r="V32" s="573"/>
      <c r="W32" s="573"/>
      <c r="X32" s="573"/>
    </row>
    <row r="33" spans="1:24" s="533" customFormat="1" ht="12.75">
      <c r="A33" s="531"/>
      <c r="B33" s="555" t="s">
        <v>62</v>
      </c>
      <c r="C33" s="558">
        <v>0.9723084717360669</v>
      </c>
      <c r="D33" s="558">
        <v>0.8577781207369721</v>
      </c>
      <c r="E33" s="558">
        <v>0.8311016218700563</v>
      </c>
      <c r="F33" s="567">
        <v>319</v>
      </c>
      <c r="G33" s="558">
        <f>+D33/C33</f>
        <v>0.8822078030497876</v>
      </c>
      <c r="H33" s="558">
        <f>+E33/D33</f>
        <v>0.9689004671231339</v>
      </c>
      <c r="I33" s="558">
        <f>+E33/C33</f>
        <v>0.854771552474613</v>
      </c>
      <c r="J33" s="558">
        <f>((E33/C33)^0.5)-1</f>
        <v>-0.07546143808134587</v>
      </c>
      <c r="L33" s="572"/>
      <c r="P33" s="573"/>
      <c r="Q33" s="573"/>
      <c r="R33" s="573"/>
      <c r="V33" s="573"/>
      <c r="W33" s="573"/>
      <c r="X33" s="573"/>
    </row>
    <row r="34" spans="1:24" s="533" customFormat="1" ht="12.75">
      <c r="A34" s="531"/>
      <c r="G34" s="578"/>
      <c r="H34" s="578"/>
      <c r="I34" s="578"/>
      <c r="L34" s="572"/>
      <c r="P34" s="573"/>
      <c r="Q34" s="573"/>
      <c r="R34" s="573"/>
      <c r="V34" s="573"/>
      <c r="W34" s="573"/>
      <c r="X34" s="573"/>
    </row>
    <row r="35" spans="1:24" s="533" customFormat="1" ht="21.75" customHeight="1">
      <c r="A35" s="531"/>
      <c r="B35" s="693" t="s">
        <v>251</v>
      </c>
      <c r="C35" s="693"/>
      <c r="D35" s="693"/>
      <c r="E35" s="693"/>
      <c r="F35" s="693"/>
      <c r="G35" s="579"/>
      <c r="H35" s="579"/>
      <c r="I35" s="579"/>
      <c r="V35" s="573"/>
      <c r="W35" s="573"/>
      <c r="X35" s="573"/>
    </row>
    <row r="36" spans="1:24" s="533" customFormat="1" ht="12.75">
      <c r="A36" s="531"/>
      <c r="D36" s="536"/>
      <c r="E36" s="536"/>
      <c r="V36" s="573"/>
      <c r="W36" s="573"/>
      <c r="X36" s="573"/>
    </row>
    <row r="37" spans="1:24" s="533" customFormat="1" ht="12.75">
      <c r="A37" s="580"/>
      <c r="D37" s="536"/>
      <c r="E37" s="536"/>
      <c r="V37" s="573"/>
      <c r="W37" s="573"/>
      <c r="X37" s="573"/>
    </row>
    <row r="38" spans="1:24" s="533" customFormat="1" ht="12.75">
      <c r="A38" s="531"/>
      <c r="B38" s="580"/>
      <c r="C38" s="581"/>
      <c r="D38" s="565"/>
      <c r="E38" s="565"/>
      <c r="F38" s="581"/>
      <c r="G38" s="579"/>
      <c r="H38" s="579"/>
      <c r="I38" s="579"/>
      <c r="V38" s="573"/>
      <c r="W38" s="573"/>
      <c r="X38" s="573"/>
    </row>
    <row r="39" spans="1:24" s="533" customFormat="1" ht="12.75">
      <c r="A39" s="531"/>
      <c r="B39" s="580"/>
      <c r="C39" s="581"/>
      <c r="D39" s="565"/>
      <c r="E39" s="565"/>
      <c r="F39" s="581"/>
      <c r="G39" s="579"/>
      <c r="H39" s="579"/>
      <c r="I39" s="579"/>
      <c r="V39" s="573"/>
      <c r="W39" s="573"/>
      <c r="X39" s="573"/>
    </row>
    <row r="40" spans="1:24" s="533" customFormat="1" ht="12.75">
      <c r="A40" s="531"/>
      <c r="B40" s="580"/>
      <c r="C40" s="581"/>
      <c r="D40" s="565"/>
      <c r="E40" s="565"/>
      <c r="F40" s="581"/>
      <c r="G40" s="579"/>
      <c r="H40" s="579"/>
      <c r="I40" s="579"/>
      <c r="V40" s="573"/>
      <c r="W40" s="573"/>
      <c r="X40" s="573"/>
    </row>
    <row r="41" spans="1:24" s="533" customFormat="1" ht="12.75">
      <c r="A41" s="580"/>
      <c r="D41" s="536"/>
      <c r="E41" s="536"/>
      <c r="V41" s="573"/>
      <c r="W41" s="573"/>
      <c r="X41" s="573"/>
    </row>
    <row r="42" spans="1:24" s="533" customFormat="1" ht="12.75">
      <c r="A42" s="531"/>
      <c r="B42" s="580"/>
      <c r="C42" s="581"/>
      <c r="D42" s="565"/>
      <c r="E42" s="565"/>
      <c r="F42" s="581"/>
      <c r="G42" s="579"/>
      <c r="H42" s="579"/>
      <c r="I42" s="579"/>
      <c r="V42" s="573"/>
      <c r="W42" s="573"/>
      <c r="X42" s="573"/>
    </row>
    <row r="43" spans="1:24" s="533" customFormat="1" ht="12.75">
      <c r="A43" s="531"/>
      <c r="B43" s="580"/>
      <c r="C43" s="581"/>
      <c r="D43" s="565"/>
      <c r="E43" s="565"/>
      <c r="F43" s="581"/>
      <c r="G43" s="579"/>
      <c r="H43" s="579"/>
      <c r="I43" s="579"/>
      <c r="V43" s="573"/>
      <c r="W43" s="573"/>
      <c r="X43" s="573"/>
    </row>
    <row r="44" spans="1:24" s="533" customFormat="1" ht="12.75">
      <c r="A44" s="531"/>
      <c r="B44" s="580"/>
      <c r="C44" s="581"/>
      <c r="D44" s="565"/>
      <c r="E44" s="565"/>
      <c r="F44" s="581"/>
      <c r="G44" s="579"/>
      <c r="H44" s="579"/>
      <c r="I44" s="579"/>
      <c r="V44" s="573"/>
      <c r="W44" s="573"/>
      <c r="X44" s="573"/>
    </row>
    <row r="45" spans="1:24" s="533" customFormat="1" ht="12.75">
      <c r="A45" s="531"/>
      <c r="B45" s="580"/>
      <c r="C45" s="581"/>
      <c r="D45" s="565"/>
      <c r="E45" s="565"/>
      <c r="F45" s="581"/>
      <c r="G45" s="579"/>
      <c r="H45" s="579"/>
      <c r="I45" s="579"/>
      <c r="V45" s="573"/>
      <c r="W45" s="573"/>
      <c r="X45" s="573"/>
    </row>
    <row r="46" spans="1:24" s="533" customFormat="1" ht="12.75">
      <c r="A46" s="580"/>
      <c r="D46" s="536"/>
      <c r="E46" s="536"/>
      <c r="V46" s="573"/>
      <c r="W46" s="573"/>
      <c r="X46" s="573"/>
    </row>
    <row r="47" spans="1:24" s="533" customFormat="1" ht="12.75">
      <c r="A47" s="531"/>
      <c r="B47" s="580"/>
      <c r="C47" s="581"/>
      <c r="D47" s="565"/>
      <c r="E47" s="565"/>
      <c r="F47" s="581"/>
      <c r="G47" s="579"/>
      <c r="H47" s="579"/>
      <c r="I47" s="579"/>
      <c r="V47" s="573"/>
      <c r="W47" s="573"/>
      <c r="X47" s="573"/>
    </row>
    <row r="48" spans="1:24" s="533" customFormat="1" ht="12.75">
      <c r="A48" s="531"/>
      <c r="B48" s="580"/>
      <c r="C48" s="581"/>
      <c r="D48" s="565"/>
      <c r="E48" s="565"/>
      <c r="F48" s="581"/>
      <c r="G48" s="579"/>
      <c r="H48" s="579"/>
      <c r="I48" s="579"/>
      <c r="V48" s="573"/>
      <c r="W48" s="573"/>
      <c r="X48" s="573"/>
    </row>
    <row r="49" spans="1:24" s="533" customFormat="1" ht="12.75">
      <c r="A49" s="531"/>
      <c r="B49" s="580"/>
      <c r="C49" s="581"/>
      <c r="D49" s="565"/>
      <c r="E49" s="565"/>
      <c r="F49" s="581"/>
      <c r="G49" s="579"/>
      <c r="H49" s="579"/>
      <c r="I49" s="579"/>
      <c r="V49" s="573"/>
      <c r="W49" s="573"/>
      <c r="X49" s="573"/>
    </row>
    <row r="50" spans="1:24" s="533" customFormat="1" ht="12.75">
      <c r="A50" s="531"/>
      <c r="B50" s="580"/>
      <c r="C50" s="581"/>
      <c r="D50" s="565"/>
      <c r="E50" s="565"/>
      <c r="F50" s="581"/>
      <c r="G50" s="579"/>
      <c r="H50" s="579"/>
      <c r="I50" s="579"/>
      <c r="V50" s="573"/>
      <c r="W50" s="573"/>
      <c r="X50" s="573"/>
    </row>
    <row r="51" spans="1:24" s="533" customFormat="1" ht="12.75">
      <c r="A51" s="531"/>
      <c r="D51" s="536"/>
      <c r="E51" s="536"/>
      <c r="V51" s="573"/>
      <c r="W51" s="573"/>
      <c r="X51" s="573"/>
    </row>
    <row r="52" spans="1:24" s="533" customFormat="1" ht="12.75">
      <c r="A52" s="531"/>
      <c r="B52" s="580"/>
      <c r="C52" s="581"/>
      <c r="D52" s="582"/>
      <c r="E52" s="582"/>
      <c r="F52" s="581"/>
      <c r="G52" s="579"/>
      <c r="H52" s="579"/>
      <c r="I52" s="579"/>
      <c r="V52" s="573"/>
      <c r="W52" s="573"/>
      <c r="X52" s="573"/>
    </row>
    <row r="53" spans="1:24" s="533" customFormat="1" ht="12.75">
      <c r="A53" s="531"/>
      <c r="B53" s="580"/>
      <c r="C53" s="581"/>
      <c r="D53" s="582"/>
      <c r="E53" s="582"/>
      <c r="F53" s="581"/>
      <c r="G53" s="579"/>
      <c r="H53" s="579"/>
      <c r="I53" s="579"/>
      <c r="V53" s="573"/>
      <c r="W53" s="573"/>
      <c r="X53" s="573"/>
    </row>
    <row r="54" spans="1:24" s="533" customFormat="1" ht="12.75">
      <c r="A54" s="531"/>
      <c r="D54" s="536"/>
      <c r="E54" s="536"/>
      <c r="V54" s="573"/>
      <c r="W54" s="573"/>
      <c r="X54" s="573"/>
    </row>
    <row r="55" spans="1:24" s="533" customFormat="1" ht="12.75">
      <c r="A55" s="531"/>
      <c r="D55" s="536"/>
      <c r="E55" s="536"/>
      <c r="V55" s="573"/>
      <c r="W55" s="573"/>
      <c r="X55" s="573"/>
    </row>
    <row r="56" spans="1:24" s="533" customFormat="1" ht="12.75">
      <c r="A56" s="531"/>
      <c r="D56" s="536"/>
      <c r="E56" s="536"/>
      <c r="V56" s="573"/>
      <c r="W56" s="573"/>
      <c r="X56" s="573"/>
    </row>
    <row r="57" spans="1:24" s="533" customFormat="1" ht="12.75">
      <c r="A57" s="531"/>
      <c r="D57" s="536"/>
      <c r="E57" s="536"/>
      <c r="V57" s="573"/>
      <c r="W57" s="573"/>
      <c r="X57" s="573"/>
    </row>
    <row r="58" spans="1:24" s="533" customFormat="1" ht="12.75">
      <c r="A58" s="531"/>
      <c r="D58" s="536"/>
      <c r="E58" s="536"/>
      <c r="V58" s="573"/>
      <c r="W58" s="573"/>
      <c r="X58" s="573"/>
    </row>
    <row r="59" spans="1:24" s="533" customFormat="1" ht="12.75">
      <c r="A59" s="531"/>
      <c r="D59" s="536"/>
      <c r="E59" s="536"/>
      <c r="V59" s="573"/>
      <c r="W59" s="573"/>
      <c r="X59" s="573"/>
    </row>
    <row r="60" spans="1:24" s="533" customFormat="1" ht="12.75">
      <c r="A60" s="531"/>
      <c r="D60" s="536"/>
      <c r="E60" s="536"/>
      <c r="V60" s="573"/>
      <c r="W60" s="573"/>
      <c r="X60" s="573"/>
    </row>
    <row r="61" spans="1:22" s="533" customFormat="1" ht="12.75">
      <c r="A61" s="531"/>
      <c r="D61" s="536"/>
      <c r="E61" s="536"/>
      <c r="V61" s="544"/>
    </row>
    <row r="62" spans="1:22" s="533" customFormat="1" ht="12.75">
      <c r="A62" s="531"/>
      <c r="D62" s="536"/>
      <c r="E62" s="536"/>
      <c r="V62" s="544"/>
    </row>
    <row r="63" spans="1:22" s="533" customFormat="1" ht="12.75">
      <c r="A63" s="531"/>
      <c r="D63" s="536"/>
      <c r="E63" s="536"/>
      <c r="V63" s="544"/>
    </row>
    <row r="64" spans="1:22" s="533" customFormat="1" ht="12.75">
      <c r="A64" s="531"/>
      <c r="D64" s="536"/>
      <c r="E64" s="536"/>
      <c r="V64" s="544"/>
    </row>
    <row r="65" spans="1:22" s="533" customFormat="1" ht="12.75">
      <c r="A65" s="531"/>
      <c r="D65" s="536"/>
      <c r="E65" s="536"/>
      <c r="V65" s="544"/>
    </row>
    <row r="66" spans="1:22" s="533" customFormat="1" ht="12.75">
      <c r="A66" s="531"/>
      <c r="D66" s="536"/>
      <c r="E66" s="536"/>
      <c r="V66" s="544"/>
    </row>
    <row r="67" spans="1:22" s="533" customFormat="1" ht="12.75">
      <c r="A67" s="531"/>
      <c r="D67" s="536"/>
      <c r="E67" s="536"/>
      <c r="V67" s="544"/>
    </row>
    <row r="68" spans="1:22" s="533" customFormat="1" ht="12.75">
      <c r="A68" s="531"/>
      <c r="D68" s="536"/>
      <c r="E68" s="536"/>
      <c r="V68" s="544"/>
    </row>
    <row r="69" spans="1:22" s="533" customFormat="1" ht="12.75">
      <c r="A69" s="531"/>
      <c r="D69" s="536"/>
      <c r="E69" s="536"/>
      <c r="V69" s="544"/>
    </row>
    <row r="70" spans="1:22" s="533" customFormat="1" ht="12.75">
      <c r="A70" s="531"/>
      <c r="D70" s="536"/>
      <c r="E70" s="536"/>
      <c r="V70" s="544"/>
    </row>
    <row r="71" spans="1:22" s="533" customFormat="1" ht="12.75">
      <c r="A71" s="531"/>
      <c r="D71" s="536"/>
      <c r="E71" s="536"/>
      <c r="V71" s="544"/>
    </row>
    <row r="72" spans="1:22" s="533" customFormat="1" ht="12.75">
      <c r="A72" s="531"/>
      <c r="D72" s="536"/>
      <c r="E72" s="536"/>
      <c r="V72" s="544"/>
    </row>
    <row r="73" spans="1:22" s="533" customFormat="1" ht="12.75">
      <c r="A73" s="531"/>
      <c r="D73" s="536"/>
      <c r="E73" s="536"/>
      <c r="V73" s="544"/>
    </row>
    <row r="74" spans="1:22" s="533" customFormat="1" ht="12.75">
      <c r="A74" s="531"/>
      <c r="D74" s="536"/>
      <c r="E74" s="536"/>
      <c r="V74" s="544"/>
    </row>
    <row r="75" spans="1:22" s="533" customFormat="1" ht="12.75">
      <c r="A75" s="531"/>
      <c r="D75" s="536"/>
      <c r="E75" s="536"/>
      <c r="V75" s="544"/>
    </row>
    <row r="76" spans="1:22" s="533" customFormat="1" ht="12.75">
      <c r="A76" s="531"/>
      <c r="D76" s="536"/>
      <c r="E76" s="536"/>
      <c r="V76" s="544"/>
    </row>
    <row r="77" spans="1:22" s="533" customFormat="1" ht="12.75">
      <c r="A77" s="531"/>
      <c r="D77" s="536"/>
      <c r="E77" s="536"/>
      <c r="V77" s="544"/>
    </row>
    <row r="78" spans="1:22" s="533" customFormat="1" ht="12.75">
      <c r="A78" s="531"/>
      <c r="D78" s="536"/>
      <c r="E78" s="536"/>
      <c r="V78" s="544"/>
    </row>
    <row r="79" spans="1:22" s="533" customFormat="1" ht="12.75">
      <c r="A79" s="531"/>
      <c r="D79" s="536"/>
      <c r="E79" s="536"/>
      <c r="V79" s="544"/>
    </row>
    <row r="80" spans="1:22" s="533" customFormat="1" ht="12.75">
      <c r="A80" s="531"/>
      <c r="D80" s="536"/>
      <c r="E80" s="536"/>
      <c r="V80" s="544"/>
    </row>
    <row r="81" spans="1:22" s="533" customFormat="1" ht="12.75">
      <c r="A81" s="531"/>
      <c r="D81" s="536"/>
      <c r="E81" s="536"/>
      <c r="V81" s="544"/>
    </row>
    <row r="82" spans="1:22" s="533" customFormat="1" ht="12.75">
      <c r="A82" s="531"/>
      <c r="D82" s="536"/>
      <c r="E82" s="536"/>
      <c r="V82" s="544"/>
    </row>
    <row r="83" spans="1:22" s="533" customFormat="1" ht="12.75">
      <c r="A83" s="531"/>
      <c r="D83" s="536"/>
      <c r="E83" s="536"/>
      <c r="V83" s="544"/>
    </row>
    <row r="84" spans="1:22" s="533" customFormat="1" ht="12.75">
      <c r="A84" s="531"/>
      <c r="D84" s="536"/>
      <c r="E84" s="536"/>
      <c r="V84" s="544"/>
    </row>
    <row r="85" spans="1:22" s="533" customFormat="1" ht="12.75">
      <c r="A85" s="531"/>
      <c r="D85" s="536"/>
      <c r="E85" s="536"/>
      <c r="V85" s="544"/>
    </row>
    <row r="86" spans="1:22" s="533" customFormat="1" ht="12.75">
      <c r="A86" s="531"/>
      <c r="D86" s="536"/>
      <c r="E86" s="536"/>
      <c r="V86" s="544"/>
    </row>
    <row r="87" spans="1:22" s="533" customFormat="1" ht="12.75">
      <c r="A87" s="531"/>
      <c r="D87" s="536"/>
      <c r="E87" s="536"/>
      <c r="V87" s="544"/>
    </row>
    <row r="88" spans="1:22" s="533" customFormat="1" ht="12.75">
      <c r="A88" s="531"/>
      <c r="D88" s="536"/>
      <c r="E88" s="536"/>
      <c r="V88" s="544"/>
    </row>
    <row r="89" spans="1:22" s="533" customFormat="1" ht="12.75">
      <c r="A89" s="531"/>
      <c r="D89" s="536"/>
      <c r="E89" s="536"/>
      <c r="V89" s="544"/>
    </row>
    <row r="90" spans="1:22" s="533" customFormat="1" ht="12.75">
      <c r="A90" s="531"/>
      <c r="D90" s="536"/>
      <c r="E90" s="536"/>
      <c r="V90" s="544"/>
    </row>
    <row r="91" spans="1:22" s="533" customFormat="1" ht="12.75">
      <c r="A91" s="531"/>
      <c r="D91" s="536"/>
      <c r="E91" s="536"/>
      <c r="V91" s="544"/>
    </row>
    <row r="92" spans="1:22" s="533" customFormat="1" ht="12.75">
      <c r="A92" s="531"/>
      <c r="D92" s="536"/>
      <c r="E92" s="536"/>
      <c r="V92" s="544"/>
    </row>
    <row r="93" spans="1:22" s="533" customFormat="1" ht="12.75">
      <c r="A93" s="531"/>
      <c r="D93" s="536"/>
      <c r="E93" s="536"/>
      <c r="V93" s="544"/>
    </row>
    <row r="94" spans="1:22" s="533" customFormat="1" ht="12.75">
      <c r="A94" s="531"/>
      <c r="D94" s="536"/>
      <c r="E94" s="536"/>
      <c r="V94" s="544"/>
    </row>
    <row r="95" spans="1:22" s="533" customFormat="1" ht="12.75">
      <c r="A95" s="531"/>
      <c r="D95" s="536"/>
      <c r="E95" s="536"/>
      <c r="V95" s="544"/>
    </row>
    <row r="96" spans="1:22" s="533" customFormat="1" ht="12.75">
      <c r="A96" s="531"/>
      <c r="D96" s="536"/>
      <c r="E96" s="536"/>
      <c r="V96" s="544"/>
    </row>
    <row r="97" spans="1:22" s="533" customFormat="1" ht="12.75">
      <c r="A97" s="531"/>
      <c r="D97" s="536"/>
      <c r="E97" s="536"/>
      <c r="V97" s="544"/>
    </row>
    <row r="98" spans="1:22" s="533" customFormat="1" ht="12.75">
      <c r="A98" s="531"/>
      <c r="D98" s="536"/>
      <c r="E98" s="536"/>
      <c r="V98" s="544"/>
    </row>
    <row r="99" spans="1:22" s="533" customFormat="1" ht="12.75">
      <c r="A99" s="531"/>
      <c r="D99" s="536"/>
      <c r="E99" s="536"/>
      <c r="V99" s="544"/>
    </row>
    <row r="100" spans="1:22" s="533" customFormat="1" ht="12.75">
      <c r="A100" s="531"/>
      <c r="D100" s="536"/>
      <c r="E100" s="536"/>
      <c r="V100" s="544"/>
    </row>
    <row r="101" spans="1:22" s="533" customFormat="1" ht="12.75">
      <c r="A101" s="531"/>
      <c r="D101" s="536"/>
      <c r="E101" s="536"/>
      <c r="V101" s="544"/>
    </row>
    <row r="102" spans="1:22" s="533" customFormat="1" ht="12.75">
      <c r="A102" s="531"/>
      <c r="D102" s="536"/>
      <c r="E102" s="536"/>
      <c r="V102" s="544"/>
    </row>
    <row r="103" spans="1:22" s="533" customFormat="1" ht="12.75">
      <c r="A103" s="531"/>
      <c r="D103" s="536"/>
      <c r="E103" s="536"/>
      <c r="V103" s="544"/>
    </row>
    <row r="104" spans="1:22" s="533" customFormat="1" ht="12.75">
      <c r="A104" s="531"/>
      <c r="D104" s="536"/>
      <c r="E104" s="536"/>
      <c r="V104" s="544"/>
    </row>
    <row r="105" spans="1:22" s="533" customFormat="1" ht="12.75">
      <c r="A105" s="531"/>
      <c r="D105" s="536"/>
      <c r="E105" s="536"/>
      <c r="V105" s="544"/>
    </row>
    <row r="106" spans="1:22" s="533" customFormat="1" ht="12.75">
      <c r="A106" s="531"/>
      <c r="D106" s="536"/>
      <c r="E106" s="536"/>
      <c r="V106" s="544"/>
    </row>
    <row r="107" spans="1:22" s="533" customFormat="1" ht="12.75">
      <c r="A107" s="531"/>
      <c r="D107" s="536"/>
      <c r="E107" s="536"/>
      <c r="V107" s="544"/>
    </row>
    <row r="108" spans="1:22" s="533" customFormat="1" ht="12.75">
      <c r="A108" s="531"/>
      <c r="D108" s="536"/>
      <c r="E108" s="536"/>
      <c r="V108" s="544"/>
    </row>
    <row r="109" spans="1:22" s="533" customFormat="1" ht="12.75">
      <c r="A109" s="531"/>
      <c r="D109" s="536"/>
      <c r="E109" s="536"/>
      <c r="V109" s="544"/>
    </row>
    <row r="110" spans="1:22" s="533" customFormat="1" ht="12.75">
      <c r="A110" s="531"/>
      <c r="D110" s="536"/>
      <c r="E110" s="536"/>
      <c r="V110" s="544"/>
    </row>
    <row r="111" spans="1:22" s="533" customFormat="1" ht="12.75">
      <c r="A111" s="531"/>
      <c r="D111" s="536"/>
      <c r="E111" s="536"/>
      <c r="V111" s="544"/>
    </row>
  </sheetData>
  <sheetProtection/>
  <mergeCells count="10">
    <mergeCell ref="B14:J14"/>
    <mergeCell ref="B21:J21"/>
    <mergeCell ref="B29:J29"/>
    <mergeCell ref="B35:F35"/>
    <mergeCell ref="B1:J1"/>
    <mergeCell ref="B2:J2"/>
    <mergeCell ref="B3:J3"/>
    <mergeCell ref="B4:J4"/>
    <mergeCell ref="B5:J5"/>
    <mergeCell ref="B7:J7"/>
  </mergeCells>
  <printOptions/>
  <pageMargins left="0.75" right="0.75" top="1" bottom="1" header="0.5" footer="0.5"/>
  <pageSetup horizontalDpi="600" verticalDpi="600" orientation="landscape" scale="60" r:id="rId1"/>
  <headerFooter alignWithMargins="0">
    <oddFooter>&amp;L"&amp;F"&amp;R&amp;"Arial,Italic"&amp;A</oddFooter>
  </headerFooter>
  <rowBreaks count="1" manualBreakCount="1">
    <brk id="47" max="255" man="1"/>
  </rowBreaks>
</worksheet>
</file>

<file path=xl/worksheets/sheet17.xml><?xml version="1.0" encoding="utf-8"?>
<worksheet xmlns="http://schemas.openxmlformats.org/spreadsheetml/2006/main" xmlns:r="http://schemas.openxmlformats.org/officeDocument/2006/relationships">
  <dimension ref="A1:J64"/>
  <sheetViews>
    <sheetView zoomScaleSheetLayoutView="85" zoomScalePageLayoutView="0" workbookViewId="0" topLeftCell="A1">
      <selection activeCell="B50" sqref="B50"/>
    </sheetView>
  </sheetViews>
  <sheetFormatPr defaultColWidth="9.140625" defaultRowHeight="12.75"/>
  <cols>
    <col min="1" max="1" width="16.00390625" style="583" bestFit="1" customWidth="1"/>
    <col min="2" max="2" width="21.28125" style="586" bestFit="1" customWidth="1"/>
    <col min="3" max="5" width="13.57421875" style="586" customWidth="1"/>
    <col min="6" max="7" width="13.57421875" style="587" customWidth="1"/>
    <col min="8" max="9" width="13.57421875" style="586" customWidth="1"/>
    <col min="10" max="10" width="15.140625" style="584" bestFit="1" customWidth="1"/>
    <col min="11" max="11" width="2.28125" style="584" customWidth="1"/>
    <col min="12" max="16384" width="9.140625" style="584" customWidth="1"/>
  </cols>
  <sheetData>
    <row r="1" spans="2:10" ht="21.75" customHeight="1">
      <c r="B1" s="700" t="s">
        <v>182</v>
      </c>
      <c r="C1" s="700"/>
      <c r="D1" s="700"/>
      <c r="E1" s="700"/>
      <c r="F1" s="700"/>
      <c r="G1" s="700"/>
      <c r="H1" s="700"/>
      <c r="I1" s="700"/>
      <c r="J1" s="700"/>
    </row>
    <row r="2" spans="2:10" ht="18">
      <c r="B2" s="701" t="s">
        <v>264</v>
      </c>
      <c r="C2" s="701"/>
      <c r="D2" s="701"/>
      <c r="E2" s="701"/>
      <c r="F2" s="701"/>
      <c r="G2" s="701"/>
      <c r="H2" s="701"/>
      <c r="I2" s="701"/>
      <c r="J2" s="701"/>
    </row>
    <row r="3" spans="2:10" ht="15.75">
      <c r="B3" s="702" t="s">
        <v>183</v>
      </c>
      <c r="C3" s="702"/>
      <c r="D3" s="702"/>
      <c r="E3" s="702"/>
      <c r="F3" s="702"/>
      <c r="G3" s="702"/>
      <c r="H3" s="702"/>
      <c r="I3" s="702"/>
      <c r="J3" s="702"/>
    </row>
    <row r="4" spans="2:10" ht="14.25" customHeight="1">
      <c r="B4" s="703" t="s">
        <v>171</v>
      </c>
      <c r="C4" s="703"/>
      <c r="D4" s="703"/>
      <c r="E4" s="703"/>
      <c r="F4" s="703"/>
      <c r="G4" s="703"/>
      <c r="H4" s="703"/>
      <c r="I4" s="703"/>
      <c r="J4" s="703"/>
    </row>
    <row r="5" spans="2:10" ht="12.75">
      <c r="B5" s="704" t="s">
        <v>184</v>
      </c>
      <c r="C5" s="704"/>
      <c r="D5" s="704"/>
      <c r="E5" s="704"/>
      <c r="F5" s="704"/>
      <c r="G5" s="704"/>
      <c r="H5" s="704"/>
      <c r="I5" s="704"/>
      <c r="J5" s="704"/>
    </row>
    <row r="6" ht="12.75">
      <c r="B6" s="585"/>
    </row>
    <row r="7" spans="2:10" ht="18" customHeight="1">
      <c r="B7" s="699" t="s">
        <v>193</v>
      </c>
      <c r="C7" s="699"/>
      <c r="D7" s="699"/>
      <c r="E7" s="699"/>
      <c r="F7" s="699"/>
      <c r="G7" s="699"/>
      <c r="H7" s="699"/>
      <c r="I7" s="699"/>
      <c r="J7" s="699"/>
    </row>
    <row r="8" spans="2:9" ht="9.75" customHeight="1">
      <c r="B8" s="588"/>
      <c r="C8" s="588"/>
      <c r="D8" s="588"/>
      <c r="E8" s="588"/>
      <c r="F8" s="588"/>
      <c r="G8" s="588"/>
      <c r="H8" s="588"/>
      <c r="I8" s="588"/>
    </row>
    <row r="9" spans="2:10" ht="14.25">
      <c r="B9" s="589" t="s">
        <v>194</v>
      </c>
      <c r="C9" s="590">
        <v>2005</v>
      </c>
      <c r="D9" s="540">
        <v>2006</v>
      </c>
      <c r="E9" s="540">
        <v>2007</v>
      </c>
      <c r="F9" s="590" t="s">
        <v>187</v>
      </c>
      <c r="G9" s="591" t="s">
        <v>91</v>
      </c>
      <c r="H9" s="591" t="s">
        <v>92</v>
      </c>
      <c r="I9" s="591" t="s">
        <v>188</v>
      </c>
      <c r="J9" s="592" t="s">
        <v>265</v>
      </c>
    </row>
    <row r="10" spans="1:10" s="586" customFormat="1" ht="12.75">
      <c r="A10" s="583"/>
      <c r="B10" s="658">
        <v>1</v>
      </c>
      <c r="C10" s="546">
        <v>0.5434808444868712</v>
      </c>
      <c r="D10" s="546">
        <v>0.5757538610749503</v>
      </c>
      <c r="E10" s="546">
        <v>0.5088529729185006</v>
      </c>
      <c r="F10" s="547">
        <v>1412</v>
      </c>
      <c r="G10" s="546">
        <f>+D10/C10</f>
        <v>1.0593820682282735</v>
      </c>
      <c r="H10" s="546">
        <f>+E10/D10</f>
        <v>0.8838029708883869</v>
      </c>
      <c r="I10" s="546">
        <f>+E10/C10</f>
        <v>0.9362850192060319</v>
      </c>
      <c r="J10" s="594">
        <f>((E10/C10)^0.5)-1</f>
        <v>-0.03238178024283156</v>
      </c>
    </row>
    <row r="11" spans="1:10" s="586" customFormat="1" ht="12.75">
      <c r="A11" s="583"/>
      <c r="B11" s="659">
        <v>2</v>
      </c>
      <c r="C11" s="558">
        <v>0.7697997484973993</v>
      </c>
      <c r="D11" s="558">
        <v>0.7532987795155087</v>
      </c>
      <c r="E11" s="558">
        <v>0.7445387842510249</v>
      </c>
      <c r="F11" s="567">
        <v>1396</v>
      </c>
      <c r="G11" s="558">
        <f>+D11/C11</f>
        <v>0.9785645955144836</v>
      </c>
      <c r="H11" s="558">
        <f>+E11/D11</f>
        <v>0.9883711543112842</v>
      </c>
      <c r="I11" s="558">
        <f>+E11/C11</f>
        <v>0.9671850188368051</v>
      </c>
      <c r="J11" s="596">
        <f>((E11/C11)^0.5)-1</f>
        <v>-0.016544348312134027</v>
      </c>
    </row>
    <row r="12" spans="1:9" s="586" customFormat="1" ht="12.75">
      <c r="A12" s="583"/>
      <c r="B12" s="597"/>
      <c r="C12" s="566"/>
      <c r="D12" s="566"/>
      <c r="E12" s="564"/>
      <c r="F12" s="565"/>
      <c r="G12" s="565"/>
      <c r="H12" s="564"/>
      <c r="I12" s="566"/>
    </row>
    <row r="13" spans="1:10" s="586" customFormat="1" ht="15.75">
      <c r="A13" s="583"/>
      <c r="B13" s="699" t="s">
        <v>195</v>
      </c>
      <c r="C13" s="699"/>
      <c r="D13" s="699"/>
      <c r="E13" s="699"/>
      <c r="F13" s="699"/>
      <c r="G13" s="699"/>
      <c r="H13" s="699"/>
      <c r="I13" s="699"/>
      <c r="J13" s="699"/>
    </row>
    <row r="14" spans="1:9" s="586" customFormat="1" ht="7.5" customHeight="1">
      <c r="A14" s="583"/>
      <c r="B14" s="588"/>
      <c r="C14" s="588"/>
      <c r="D14" s="588"/>
      <c r="E14" s="588"/>
      <c r="F14" s="588"/>
      <c r="G14" s="588"/>
      <c r="H14" s="588"/>
      <c r="I14" s="588"/>
    </row>
    <row r="15" spans="1:10" s="586" customFormat="1" ht="14.25">
      <c r="A15" s="583"/>
      <c r="B15" s="589" t="s">
        <v>194</v>
      </c>
      <c r="C15" s="590">
        <v>2005</v>
      </c>
      <c r="D15" s="540">
        <v>2006</v>
      </c>
      <c r="E15" s="540">
        <v>2007</v>
      </c>
      <c r="F15" s="590" t="s">
        <v>187</v>
      </c>
      <c r="G15" s="591" t="s">
        <v>91</v>
      </c>
      <c r="H15" s="591" t="s">
        <v>92</v>
      </c>
      <c r="I15" s="591" t="s">
        <v>188</v>
      </c>
      <c r="J15" s="592" t="s">
        <v>265</v>
      </c>
    </row>
    <row r="16" spans="1:10" s="586" customFormat="1" ht="12.75">
      <c r="A16" s="583"/>
      <c r="B16" s="658">
        <v>1</v>
      </c>
      <c r="C16" s="546">
        <v>0.4846353243506936</v>
      </c>
      <c r="D16" s="546">
        <v>0.5089682997914962</v>
      </c>
      <c r="E16" s="546">
        <v>0.40865774900852325</v>
      </c>
      <c r="F16" s="547">
        <v>524</v>
      </c>
      <c r="G16" s="546">
        <f aca="true" t="shared" si="0" ref="G16:H18">+D16/C16</f>
        <v>1.0502088358363135</v>
      </c>
      <c r="H16" s="546">
        <f t="shared" si="0"/>
        <v>0.8029139519611219</v>
      </c>
      <c r="I16" s="548">
        <f>+E16/C16</f>
        <v>0.8432273267658237</v>
      </c>
      <c r="J16" s="594">
        <f>((E16/C16)^0.5)-1</f>
        <v>-0.08172589780293615</v>
      </c>
    </row>
    <row r="17" spans="1:10" s="586" customFormat="1" ht="12.75">
      <c r="A17" s="583"/>
      <c r="B17" s="660">
        <v>2</v>
      </c>
      <c r="C17" s="550">
        <v>0.5728202543488967</v>
      </c>
      <c r="D17" s="550">
        <v>0.6050778479472166</v>
      </c>
      <c r="E17" s="550">
        <v>0.5574324016344937</v>
      </c>
      <c r="F17" s="551">
        <v>596</v>
      </c>
      <c r="G17" s="550">
        <f t="shared" si="0"/>
        <v>1.0563136400178201</v>
      </c>
      <c r="H17" s="550">
        <f t="shared" si="0"/>
        <v>0.9212573283349166</v>
      </c>
      <c r="I17" s="552">
        <f>+E17/C17</f>
        <v>0.9731366818865478</v>
      </c>
      <c r="J17" s="599">
        <f>((E17/C17)^0.5)-1</f>
        <v>-0.01352309612107605</v>
      </c>
    </row>
    <row r="18" spans="1:10" s="586" customFormat="1" ht="12.75">
      <c r="A18" s="583"/>
      <c r="B18" s="659">
        <v>3</v>
      </c>
      <c r="C18" s="558">
        <v>0.8689780136710445</v>
      </c>
      <c r="D18" s="558">
        <v>0.7285823161151719</v>
      </c>
      <c r="E18" s="558">
        <v>0.7575200138900354</v>
      </c>
      <c r="F18" s="567">
        <v>955</v>
      </c>
      <c r="G18" s="558">
        <f t="shared" si="0"/>
        <v>0.8384358460776661</v>
      </c>
      <c r="H18" s="558">
        <f t="shared" si="0"/>
        <v>1.039717815179979</v>
      </c>
      <c r="I18" s="559">
        <f>+E18/C18</f>
        <v>0.8717366860524483</v>
      </c>
      <c r="J18" s="596">
        <f>((E18/C18)^0.5)-1</f>
        <v>-0.06633159737921501</v>
      </c>
    </row>
    <row r="19" spans="1:9" s="586" customFormat="1" ht="8.25" customHeight="1">
      <c r="A19" s="583"/>
      <c r="B19" s="600"/>
      <c r="C19" s="578"/>
      <c r="D19" s="578"/>
      <c r="E19" s="578"/>
      <c r="F19" s="578"/>
      <c r="G19" s="578"/>
      <c r="H19" s="578"/>
      <c r="I19" s="578"/>
    </row>
    <row r="20" spans="1:10" s="586" customFormat="1" ht="15.75">
      <c r="A20" s="583"/>
      <c r="B20" s="699" t="s">
        <v>196</v>
      </c>
      <c r="C20" s="699"/>
      <c r="D20" s="699"/>
      <c r="E20" s="699"/>
      <c r="F20" s="699"/>
      <c r="G20" s="699"/>
      <c r="H20" s="699"/>
      <c r="I20" s="699"/>
      <c r="J20" s="699"/>
    </row>
    <row r="21" spans="1:9" s="586" customFormat="1" ht="7.5" customHeight="1">
      <c r="A21" s="583"/>
      <c r="B21" s="588"/>
      <c r="C21" s="588"/>
      <c r="D21" s="588"/>
      <c r="E21" s="588"/>
      <c r="F21" s="588"/>
      <c r="G21" s="588"/>
      <c r="H21" s="588"/>
      <c r="I21" s="588"/>
    </row>
    <row r="22" spans="1:10" s="586" customFormat="1" ht="14.25">
      <c r="A22" s="583"/>
      <c r="B22" s="589" t="s">
        <v>194</v>
      </c>
      <c r="C22" s="590">
        <v>2005</v>
      </c>
      <c r="D22" s="540">
        <v>2006</v>
      </c>
      <c r="E22" s="540">
        <v>2007</v>
      </c>
      <c r="F22" s="590" t="s">
        <v>187</v>
      </c>
      <c r="G22" s="591" t="s">
        <v>91</v>
      </c>
      <c r="H22" s="591" t="s">
        <v>92</v>
      </c>
      <c r="I22" s="601" t="s">
        <v>188</v>
      </c>
      <c r="J22" s="592" t="s">
        <v>265</v>
      </c>
    </row>
    <row r="23" spans="1:10" s="586" customFormat="1" ht="12.75">
      <c r="A23" s="583"/>
      <c r="B23" s="658">
        <v>1</v>
      </c>
      <c r="C23" s="546">
        <v>0.451</v>
      </c>
      <c r="D23" s="546">
        <v>0.4289628382302087</v>
      </c>
      <c r="E23" s="546">
        <v>0.5109925135179599</v>
      </c>
      <c r="F23" s="547">
        <v>258</v>
      </c>
      <c r="G23" s="546">
        <f aca="true" t="shared" si="1" ref="G23:H26">+D23/C23</f>
        <v>0.9511371135924804</v>
      </c>
      <c r="H23" s="546">
        <f t="shared" si="1"/>
        <v>1.19122792926815</v>
      </c>
      <c r="I23" s="548">
        <f>+E23/C23</f>
        <v>1.1330210942748558</v>
      </c>
      <c r="J23" s="594">
        <f>((E23/C23)^0.5)-1</f>
        <v>0.06443463598046062</v>
      </c>
    </row>
    <row r="24" spans="1:10" s="586" customFormat="1" ht="12.75">
      <c r="A24" s="583"/>
      <c r="B24" s="660">
        <v>2</v>
      </c>
      <c r="C24" s="550">
        <v>0.561</v>
      </c>
      <c r="D24" s="550">
        <v>0.7316913701166136</v>
      </c>
      <c r="E24" s="550">
        <v>0.7089145011072816</v>
      </c>
      <c r="F24" s="551">
        <v>243</v>
      </c>
      <c r="G24" s="550">
        <f t="shared" si="1"/>
        <v>1.3042626918299707</v>
      </c>
      <c r="H24" s="550">
        <f t="shared" si="1"/>
        <v>0.9688709339216316</v>
      </c>
      <c r="I24" s="552">
        <f>+E24/C24</f>
        <v>1.2636622123124448</v>
      </c>
      <c r="J24" s="599">
        <f>((E24/C24)^0.5)-1</f>
        <v>0.12412731143427203</v>
      </c>
    </row>
    <row r="25" spans="1:10" s="586" customFormat="1" ht="12.75">
      <c r="A25" s="583"/>
      <c r="B25" s="660">
        <v>3</v>
      </c>
      <c r="C25" s="550">
        <v>0.7261930590805796</v>
      </c>
      <c r="D25" s="550">
        <v>0.7298196646324595</v>
      </c>
      <c r="E25" s="550">
        <v>0.7618144829916762</v>
      </c>
      <c r="F25" s="551">
        <v>254</v>
      </c>
      <c r="G25" s="550">
        <f t="shared" si="1"/>
        <v>1.0049939964401085</v>
      </c>
      <c r="H25" s="550">
        <f t="shared" si="1"/>
        <v>1.043839348142708</v>
      </c>
      <c r="I25" s="552">
        <f>+E25/C25</f>
        <v>1.0490522781313776</v>
      </c>
      <c r="J25" s="599">
        <f>((E25/C25)^0.5)-1</f>
        <v>0.024232531279580805</v>
      </c>
    </row>
    <row r="26" spans="1:10" s="586" customFormat="1" ht="12.75">
      <c r="A26" s="583"/>
      <c r="B26" s="659">
        <v>4</v>
      </c>
      <c r="C26" s="558">
        <v>0.9331663851872524</v>
      </c>
      <c r="D26" s="558">
        <v>0.9262734775155972</v>
      </c>
      <c r="E26" s="558">
        <v>0.8007820572784543</v>
      </c>
      <c r="F26" s="567">
        <v>336</v>
      </c>
      <c r="G26" s="558">
        <f t="shared" si="1"/>
        <v>0.9926134205206374</v>
      </c>
      <c r="H26" s="558">
        <f t="shared" si="1"/>
        <v>0.8645201192916271</v>
      </c>
      <c r="I26" s="559">
        <f>+E26/C26</f>
        <v>0.8581342727189714</v>
      </c>
      <c r="J26" s="596">
        <f>((E26/C26)^0.5)-1</f>
        <v>-0.0736446293570856</v>
      </c>
    </row>
    <row r="27" spans="1:9" s="586" customFormat="1" ht="9" customHeight="1">
      <c r="A27" s="583"/>
      <c r="B27" s="597"/>
      <c r="C27" s="566"/>
      <c r="D27" s="566"/>
      <c r="E27" s="564"/>
      <c r="F27" s="565"/>
      <c r="G27" s="565"/>
      <c r="H27" s="564"/>
      <c r="I27" s="566"/>
    </row>
    <row r="28" spans="1:10" s="586" customFormat="1" ht="15.75">
      <c r="A28" s="583"/>
      <c r="B28" s="699" t="s">
        <v>197</v>
      </c>
      <c r="C28" s="699"/>
      <c r="D28" s="699"/>
      <c r="E28" s="699"/>
      <c r="F28" s="699"/>
      <c r="G28" s="699"/>
      <c r="H28" s="699"/>
      <c r="I28" s="699"/>
      <c r="J28" s="699"/>
    </row>
    <row r="29" spans="1:9" s="586" customFormat="1" ht="15.75">
      <c r="A29" s="583"/>
      <c r="B29" s="588"/>
      <c r="C29" s="588"/>
      <c r="D29" s="588"/>
      <c r="E29" s="588"/>
      <c r="F29" s="588"/>
      <c r="G29" s="588"/>
      <c r="H29" s="588"/>
      <c r="I29" s="588"/>
    </row>
    <row r="30" spans="1:10" s="586" customFormat="1" ht="14.25">
      <c r="A30" s="583"/>
      <c r="B30" s="589" t="s">
        <v>194</v>
      </c>
      <c r="C30" s="590">
        <v>2005</v>
      </c>
      <c r="D30" s="540">
        <v>2006</v>
      </c>
      <c r="E30" s="540">
        <v>2007</v>
      </c>
      <c r="F30" s="590" t="s">
        <v>187</v>
      </c>
      <c r="G30" s="591" t="s">
        <v>91</v>
      </c>
      <c r="H30" s="591" t="s">
        <v>92</v>
      </c>
      <c r="I30" s="591" t="s">
        <v>188</v>
      </c>
      <c r="J30" s="592" t="s">
        <v>265</v>
      </c>
    </row>
    <row r="31" spans="1:10" s="586" customFormat="1" ht="12.75">
      <c r="A31" s="583"/>
      <c r="B31" s="658">
        <v>1</v>
      </c>
      <c r="C31" s="546">
        <v>0.5278990714091731</v>
      </c>
      <c r="D31" s="546">
        <v>0.5565387418201306</v>
      </c>
      <c r="E31" s="546">
        <v>0.5208041448990882</v>
      </c>
      <c r="F31" s="547">
        <v>1221</v>
      </c>
      <c r="G31" s="546">
        <f>+D31/C31</f>
        <v>1.0542521704660452</v>
      </c>
      <c r="H31" s="546">
        <f>+E31/D31</f>
        <v>0.9357913578411913</v>
      </c>
      <c r="I31" s="546">
        <f>+E31/C31</f>
        <v>0.9865600701074436</v>
      </c>
      <c r="J31" s="594">
        <f>((E31/C31)^0.5)-1</f>
        <v>-0.006742696927204306</v>
      </c>
    </row>
    <row r="32" spans="1:10" s="586" customFormat="1" ht="12.75">
      <c r="A32" s="583"/>
      <c r="B32" s="659">
        <v>2</v>
      </c>
      <c r="C32" s="558">
        <v>0.8028831697711492</v>
      </c>
      <c r="D32" s="558">
        <v>0.73800330727812</v>
      </c>
      <c r="E32" s="558">
        <v>0.7648510436563811</v>
      </c>
      <c r="F32" s="567">
        <v>1116</v>
      </c>
      <c r="G32" s="558">
        <f>+D32/C32</f>
        <v>0.9191914030138131</v>
      </c>
      <c r="H32" s="558">
        <f>+E32/D32</f>
        <v>1.0363788835544383</v>
      </c>
      <c r="I32" s="558">
        <f>+E32/C32</f>
        <v>0.9526305600282933</v>
      </c>
      <c r="J32" s="596">
        <f>((E32/C32)^0.5)-1</f>
        <v>-0.023972049566052034</v>
      </c>
    </row>
    <row r="33" spans="1:9" s="586" customFormat="1" ht="12.75">
      <c r="A33" s="583"/>
      <c r="B33" s="597"/>
      <c r="C33" s="566"/>
      <c r="D33" s="566"/>
      <c r="E33" s="564"/>
      <c r="F33" s="565"/>
      <c r="G33" s="565"/>
      <c r="H33" s="564"/>
      <c r="I33" s="566"/>
    </row>
    <row r="34" spans="1:10" s="586" customFormat="1" ht="15.75">
      <c r="A34" s="583"/>
      <c r="B34" s="699" t="s">
        <v>198</v>
      </c>
      <c r="C34" s="699"/>
      <c r="D34" s="699"/>
      <c r="E34" s="699"/>
      <c r="F34" s="699"/>
      <c r="G34" s="699"/>
      <c r="H34" s="699"/>
      <c r="I34" s="699"/>
      <c r="J34" s="699"/>
    </row>
    <row r="35" spans="1:9" s="586" customFormat="1" ht="15.75">
      <c r="A35" s="583"/>
      <c r="B35" s="588"/>
      <c r="C35" s="588"/>
      <c r="D35" s="588"/>
      <c r="E35" s="588"/>
      <c r="F35" s="588"/>
      <c r="G35" s="588"/>
      <c r="H35" s="588"/>
      <c r="I35" s="588"/>
    </row>
    <row r="36" spans="1:10" s="586" customFormat="1" ht="14.25">
      <c r="A36" s="583"/>
      <c r="B36" s="589" t="s">
        <v>194</v>
      </c>
      <c r="C36" s="590">
        <v>2005</v>
      </c>
      <c r="D36" s="540">
        <v>2006</v>
      </c>
      <c r="E36" s="540">
        <v>2007</v>
      </c>
      <c r="F36" s="590" t="s">
        <v>187</v>
      </c>
      <c r="G36" s="591" t="s">
        <v>91</v>
      </c>
      <c r="H36" s="591" t="s">
        <v>92</v>
      </c>
      <c r="I36" s="591" t="s">
        <v>188</v>
      </c>
      <c r="J36" s="592" t="s">
        <v>265</v>
      </c>
    </row>
    <row r="37" spans="1:10" s="586" customFormat="1" ht="12.75">
      <c r="A37" s="583"/>
      <c r="B37" s="658">
        <v>1</v>
      </c>
      <c r="C37" s="546">
        <v>0.46161494702599926</v>
      </c>
      <c r="D37" s="546">
        <v>0.5279606073995561</v>
      </c>
      <c r="E37" s="546">
        <v>0.3770604796601016</v>
      </c>
      <c r="F37" s="547">
        <v>374</v>
      </c>
      <c r="G37" s="546">
        <f aca="true" t="shared" si="2" ref="G37:H39">+D37/C37</f>
        <v>1.143725112891156</v>
      </c>
      <c r="H37" s="546">
        <f t="shared" si="2"/>
        <v>0.7141829795167757</v>
      </c>
      <c r="I37" s="546">
        <f>+E37/C37</f>
        <v>0.8168290088727665</v>
      </c>
      <c r="J37" s="594">
        <f>((E37/C37)^0.5)-1</f>
        <v>-0.09621406911107178</v>
      </c>
    </row>
    <row r="38" spans="1:10" s="586" customFormat="1" ht="12.75">
      <c r="A38" s="583"/>
      <c r="B38" s="660">
        <v>2</v>
      </c>
      <c r="C38" s="550">
        <v>0.5632289542753581</v>
      </c>
      <c r="D38" s="550">
        <v>0.5680014823212302</v>
      </c>
      <c r="E38" s="550">
        <v>0.5576120788788321</v>
      </c>
      <c r="F38" s="551">
        <v>438</v>
      </c>
      <c r="G38" s="550">
        <f t="shared" si="2"/>
        <v>1.0084735133193077</v>
      </c>
      <c r="H38" s="550">
        <f t="shared" si="2"/>
        <v>0.9817088444911446</v>
      </c>
      <c r="I38" s="550">
        <f>+E38/C38</f>
        <v>0.9900273674606225</v>
      </c>
      <c r="J38" s="599">
        <f>((E38/C38)^0.5)-1</f>
        <v>-0.004998810322006442</v>
      </c>
    </row>
    <row r="39" spans="1:10" s="586" customFormat="1" ht="12.75">
      <c r="A39" s="583"/>
      <c r="B39" s="659">
        <v>3</v>
      </c>
      <c r="C39" s="558">
        <v>0.812506434178703</v>
      </c>
      <c r="D39" s="558">
        <v>0.7271610807347438</v>
      </c>
      <c r="E39" s="558">
        <v>0.7887854296355603</v>
      </c>
      <c r="F39" s="567">
        <v>682</v>
      </c>
      <c r="G39" s="558">
        <f t="shared" si="2"/>
        <v>0.8949603967995307</v>
      </c>
      <c r="H39" s="558">
        <f t="shared" si="2"/>
        <v>1.0847464895103427</v>
      </c>
      <c r="I39" s="558">
        <f>+E39/C39</f>
        <v>0.9708051486790743</v>
      </c>
      <c r="J39" s="596">
        <f>((E39/C39)^0.5)-1</f>
        <v>-0.014705552294607571</v>
      </c>
    </row>
    <row r="40" spans="1:9" s="586" customFormat="1" ht="12.75">
      <c r="A40" s="583"/>
      <c r="B40" s="600"/>
      <c r="C40" s="578"/>
      <c r="D40" s="578"/>
      <c r="E40" s="578"/>
      <c r="F40" s="578"/>
      <c r="G40" s="578"/>
      <c r="H40" s="578"/>
      <c r="I40" s="578"/>
    </row>
    <row r="41" spans="1:10" s="586" customFormat="1" ht="15.75">
      <c r="A41" s="583"/>
      <c r="B41" s="699" t="s">
        <v>199</v>
      </c>
      <c r="C41" s="699"/>
      <c r="D41" s="699"/>
      <c r="E41" s="699"/>
      <c r="F41" s="699"/>
      <c r="G41" s="699"/>
      <c r="H41" s="699"/>
      <c r="I41" s="699"/>
      <c r="J41" s="699"/>
    </row>
    <row r="42" spans="1:9" s="586" customFormat="1" ht="15.75">
      <c r="A42" s="583"/>
      <c r="B42" s="588"/>
      <c r="C42" s="588"/>
      <c r="D42" s="588"/>
      <c r="E42" s="588"/>
      <c r="F42" s="588"/>
      <c r="G42" s="588"/>
      <c r="H42" s="588"/>
      <c r="I42" s="588"/>
    </row>
    <row r="43" spans="1:10" s="586" customFormat="1" ht="14.25">
      <c r="A43" s="583"/>
      <c r="B43" s="589" t="s">
        <v>194</v>
      </c>
      <c r="C43" s="590">
        <v>2005</v>
      </c>
      <c r="D43" s="540">
        <v>2006</v>
      </c>
      <c r="E43" s="540">
        <v>2007</v>
      </c>
      <c r="F43" s="590" t="s">
        <v>187</v>
      </c>
      <c r="G43" s="591" t="s">
        <v>91</v>
      </c>
      <c r="H43" s="591" t="s">
        <v>92</v>
      </c>
      <c r="I43" s="591" t="s">
        <v>188</v>
      </c>
      <c r="J43" s="592" t="s">
        <v>265</v>
      </c>
    </row>
    <row r="44" spans="1:10" s="586" customFormat="1" ht="12.75">
      <c r="A44" s="583"/>
      <c r="B44" s="658">
        <v>1</v>
      </c>
      <c r="C44" s="546">
        <v>0.5166826422507431</v>
      </c>
      <c r="D44" s="546">
        <v>0.40963649106381994</v>
      </c>
      <c r="E44" s="546">
        <v>0.5262196770038556</v>
      </c>
      <c r="F44" s="547">
        <v>180</v>
      </c>
      <c r="G44" s="546">
        <f aca="true" t="shared" si="3" ref="G44:H47">+D44/C44</f>
        <v>0.7928203070251888</v>
      </c>
      <c r="H44" s="546">
        <f t="shared" si="3"/>
        <v>1.2846015637846884</v>
      </c>
      <c r="I44" s="546">
        <f>+E44/C44</f>
        <v>1.0184582062048142</v>
      </c>
      <c r="J44" s="594">
        <f>((E44/C44)^0.5)-1</f>
        <v>0.009186903504407429</v>
      </c>
    </row>
    <row r="45" spans="1:10" s="586" customFormat="1" ht="12.75">
      <c r="A45" s="583"/>
      <c r="B45" s="660">
        <v>2</v>
      </c>
      <c r="C45" s="550">
        <v>0.5065719291782537</v>
      </c>
      <c r="D45" s="550">
        <v>0.6384590387479672</v>
      </c>
      <c r="E45" s="550">
        <v>0.5890596817016329</v>
      </c>
      <c r="F45" s="551">
        <v>161</v>
      </c>
      <c r="G45" s="550">
        <f t="shared" si="3"/>
        <v>1.2603521868723697</v>
      </c>
      <c r="H45" s="550">
        <f t="shared" si="3"/>
        <v>0.9226272101289261</v>
      </c>
      <c r="I45" s="550">
        <f>+E45/C45</f>
        <v>1.1628352219539455</v>
      </c>
      <c r="J45" s="599">
        <f>((E45/C45)^0.5)-1</f>
        <v>0.0783483768958646</v>
      </c>
    </row>
    <row r="46" spans="1:10" s="586" customFormat="1" ht="12.75">
      <c r="A46" s="583"/>
      <c r="B46" s="660">
        <v>3</v>
      </c>
      <c r="C46" s="550">
        <v>0.707576456415263</v>
      </c>
      <c r="D46" s="550">
        <v>0.7206752063691485</v>
      </c>
      <c r="E46" s="550">
        <v>0.7382031918531221</v>
      </c>
      <c r="F46" s="551">
        <v>197</v>
      </c>
      <c r="G46" s="550">
        <f t="shared" si="3"/>
        <v>1.0185121336855194</v>
      </c>
      <c r="H46" s="550">
        <f t="shared" si="3"/>
        <v>1.0243216157973323</v>
      </c>
      <c r="I46" s="550">
        <f>+E46/C46</f>
        <v>1.0432839944859398</v>
      </c>
      <c r="J46" s="599">
        <f>((E46/C46)^0.5)-1</f>
        <v>0.021412744430937547</v>
      </c>
    </row>
    <row r="47" spans="1:10" s="586" customFormat="1" ht="12.75">
      <c r="A47" s="583"/>
      <c r="B47" s="659">
        <v>4</v>
      </c>
      <c r="C47" s="558">
        <v>1.0030870446280884</v>
      </c>
      <c r="D47" s="558">
        <v>0.910552671569506</v>
      </c>
      <c r="E47" s="558">
        <v>0.8309614450394353</v>
      </c>
      <c r="F47" s="567">
        <v>103</v>
      </c>
      <c r="G47" s="558">
        <f t="shared" si="3"/>
        <v>0.9077504055563881</v>
      </c>
      <c r="H47" s="558">
        <f t="shared" si="3"/>
        <v>0.9125902004187406</v>
      </c>
      <c r="I47" s="558">
        <f>+E47/C47</f>
        <v>0.8284041245368974</v>
      </c>
      <c r="J47" s="596">
        <f>((E47/C47)^0.5)-1</f>
        <v>-0.08983291394552317</v>
      </c>
    </row>
    <row r="48" spans="1:7" s="586" customFormat="1" ht="12.75">
      <c r="A48" s="583"/>
      <c r="F48" s="587"/>
      <c r="G48" s="587"/>
    </row>
    <row r="49" spans="1:7" s="586" customFormat="1" ht="21.75" customHeight="1">
      <c r="A49" s="583"/>
      <c r="B49" s="693" t="s">
        <v>267</v>
      </c>
      <c r="C49" s="693"/>
      <c r="D49" s="693"/>
      <c r="E49" s="693"/>
      <c r="F49" s="693"/>
      <c r="G49" s="587"/>
    </row>
    <row r="50" spans="1:7" s="586" customFormat="1" ht="12.75">
      <c r="A50" s="583"/>
      <c r="F50" s="587"/>
      <c r="G50" s="587"/>
    </row>
    <row r="51" spans="1:7" s="586" customFormat="1" ht="12.75">
      <c r="A51" s="583"/>
      <c r="F51" s="587"/>
      <c r="G51" s="587"/>
    </row>
    <row r="52" spans="1:7" s="586" customFormat="1" ht="12.75">
      <c r="A52" s="583"/>
      <c r="F52" s="587"/>
      <c r="G52" s="587"/>
    </row>
    <row r="53" spans="1:7" s="586" customFormat="1" ht="12.75">
      <c r="A53" s="583"/>
      <c r="F53" s="587"/>
      <c r="G53" s="587"/>
    </row>
    <row r="54" spans="1:7" s="586" customFormat="1" ht="12.75">
      <c r="A54" s="583"/>
      <c r="F54" s="587"/>
      <c r="G54" s="587"/>
    </row>
    <row r="55" spans="1:7" s="586" customFormat="1" ht="12.75">
      <c r="A55" s="583"/>
      <c r="F55" s="587"/>
      <c r="G55" s="587"/>
    </row>
    <row r="56" spans="1:7" s="586" customFormat="1" ht="12.75">
      <c r="A56" s="583"/>
      <c r="F56" s="587"/>
      <c r="G56" s="587"/>
    </row>
    <row r="57" spans="1:7" s="586" customFormat="1" ht="12.75">
      <c r="A57" s="583"/>
      <c r="F57" s="587"/>
      <c r="G57" s="587"/>
    </row>
    <row r="58" spans="1:7" s="586" customFormat="1" ht="12.75">
      <c r="A58" s="583"/>
      <c r="F58" s="587"/>
      <c r="G58" s="587"/>
    </row>
    <row r="59" spans="1:7" s="586" customFormat="1" ht="12.75">
      <c r="A59" s="583"/>
      <c r="F59" s="587"/>
      <c r="G59" s="587"/>
    </row>
    <row r="60" spans="1:7" s="586" customFormat="1" ht="12.75">
      <c r="A60" s="583"/>
      <c r="F60" s="587"/>
      <c r="G60" s="587"/>
    </row>
    <row r="61" spans="1:7" s="586" customFormat="1" ht="12.75">
      <c r="A61" s="583"/>
      <c r="F61" s="587"/>
      <c r="G61" s="587"/>
    </row>
    <row r="62" spans="1:7" s="586" customFormat="1" ht="12.75">
      <c r="A62" s="583"/>
      <c r="F62" s="587"/>
      <c r="G62" s="587"/>
    </row>
    <row r="63" spans="1:7" s="586" customFormat="1" ht="12.75">
      <c r="A63" s="583"/>
      <c r="F63" s="587"/>
      <c r="G63" s="587"/>
    </row>
    <row r="64" spans="1:7" s="586" customFormat="1" ht="12.75">
      <c r="A64" s="583"/>
      <c r="F64" s="587"/>
      <c r="G64" s="587"/>
    </row>
  </sheetData>
  <sheetProtection/>
  <mergeCells count="12">
    <mergeCell ref="B1:J1"/>
    <mergeCell ref="B2:J2"/>
    <mergeCell ref="B3:J3"/>
    <mergeCell ref="B4:J4"/>
    <mergeCell ref="B5:J5"/>
    <mergeCell ref="B7:J7"/>
    <mergeCell ref="B13:J13"/>
    <mergeCell ref="B20:J20"/>
    <mergeCell ref="B28:J28"/>
    <mergeCell ref="B34:J34"/>
    <mergeCell ref="B41:J41"/>
    <mergeCell ref="B49:F49"/>
  </mergeCells>
  <printOptions/>
  <pageMargins left="0.75" right="0.75" top="1" bottom="1" header="0.5" footer="0.5"/>
  <pageSetup horizontalDpi="600" verticalDpi="600" orientation="landscape" scale="72" r:id="rId1"/>
  <headerFooter alignWithMargins="0">
    <oddFooter>&amp;L"&amp;F"&amp;R&amp;"Arial,Italic"&amp;A</oddFooter>
  </headerFooter>
</worksheet>
</file>

<file path=xl/worksheets/sheet18.xml><?xml version="1.0" encoding="utf-8"?>
<worksheet xmlns="http://schemas.openxmlformats.org/spreadsheetml/2006/main" xmlns:r="http://schemas.openxmlformats.org/officeDocument/2006/relationships">
  <dimension ref="A1:Z76"/>
  <sheetViews>
    <sheetView zoomScale="85" zoomScaleNormal="85" zoomScaleSheetLayoutView="85" zoomScalePageLayoutView="0" workbookViewId="0" topLeftCell="A1">
      <selection activeCell="I20" sqref="I20"/>
    </sheetView>
  </sheetViews>
  <sheetFormatPr defaultColWidth="9.140625" defaultRowHeight="12.75"/>
  <cols>
    <col min="1" max="1" width="7.8515625" style="583" customWidth="1"/>
    <col min="2" max="2" width="19.57421875" style="586" bestFit="1" customWidth="1"/>
    <col min="3" max="3" width="21.7109375" style="586" bestFit="1" customWidth="1"/>
    <col min="4" max="4" width="13.140625" style="586" bestFit="1" customWidth="1"/>
    <col min="5" max="6" width="7.7109375" style="586" bestFit="1" customWidth="1"/>
    <col min="7" max="8" width="7.7109375" style="587" bestFit="1" customWidth="1"/>
    <col min="9" max="9" width="7.8515625" style="586" bestFit="1" customWidth="1"/>
    <col min="10" max="10" width="12.00390625" style="586" bestFit="1" customWidth="1"/>
    <col min="11" max="11" width="3.7109375" style="584" customWidth="1"/>
    <col min="12" max="12" width="19.57421875" style="584" bestFit="1" customWidth="1"/>
    <col min="13" max="13" width="21.7109375" style="584" bestFit="1" customWidth="1"/>
    <col min="14" max="14" width="13.140625" style="584" bestFit="1" customWidth="1"/>
    <col min="15" max="18" width="7.7109375" style="584" bestFit="1" customWidth="1"/>
    <col min="19" max="19" width="7.8515625" style="584" bestFit="1" customWidth="1"/>
    <col min="20" max="20" width="12.00390625" style="584" bestFit="1" customWidth="1"/>
    <col min="21" max="25" width="9.140625" style="584" customWidth="1"/>
    <col min="26" max="26" width="13.8515625" style="584" bestFit="1" customWidth="1"/>
    <col min="27" max="16384" width="9.140625" style="584" customWidth="1"/>
  </cols>
  <sheetData>
    <row r="1" spans="2:20" ht="21.75" customHeight="1">
      <c r="B1" s="700" t="s">
        <v>182</v>
      </c>
      <c r="C1" s="700"/>
      <c r="D1" s="700"/>
      <c r="E1" s="700"/>
      <c r="F1" s="700"/>
      <c r="G1" s="700"/>
      <c r="H1" s="700"/>
      <c r="I1" s="700"/>
      <c r="J1" s="700"/>
      <c r="K1" s="700"/>
      <c r="L1" s="700"/>
      <c r="M1" s="700"/>
      <c r="N1" s="700"/>
      <c r="O1" s="700"/>
      <c r="P1" s="700"/>
      <c r="Q1" s="700"/>
      <c r="R1" s="700"/>
      <c r="S1" s="700"/>
      <c r="T1" s="700"/>
    </row>
    <row r="2" spans="2:20" ht="18">
      <c r="B2" s="701" t="s">
        <v>264</v>
      </c>
      <c r="C2" s="701"/>
      <c r="D2" s="701"/>
      <c r="E2" s="701"/>
      <c r="F2" s="701"/>
      <c r="G2" s="701"/>
      <c r="H2" s="701"/>
      <c r="I2" s="701"/>
      <c r="J2" s="701"/>
      <c r="K2" s="701"/>
      <c r="L2" s="701"/>
      <c r="M2" s="701"/>
      <c r="N2" s="701"/>
      <c r="O2" s="701"/>
      <c r="P2" s="701"/>
      <c r="Q2" s="701"/>
      <c r="R2" s="701"/>
      <c r="S2" s="701"/>
      <c r="T2" s="701"/>
    </row>
    <row r="3" spans="2:20" ht="15.75">
      <c r="B3" s="702" t="s">
        <v>183</v>
      </c>
      <c r="C3" s="702"/>
      <c r="D3" s="702"/>
      <c r="E3" s="702"/>
      <c r="F3" s="702"/>
      <c r="G3" s="702"/>
      <c r="H3" s="702"/>
      <c r="I3" s="702"/>
      <c r="J3" s="702"/>
      <c r="K3" s="702"/>
      <c r="L3" s="702"/>
      <c r="M3" s="702"/>
      <c r="N3" s="702"/>
      <c r="O3" s="702"/>
      <c r="P3" s="702"/>
      <c r="Q3" s="702"/>
      <c r="R3" s="702"/>
      <c r="S3" s="702"/>
      <c r="T3" s="702"/>
    </row>
    <row r="4" spans="2:20" ht="14.25" customHeight="1">
      <c r="B4" s="703" t="s">
        <v>171</v>
      </c>
      <c r="C4" s="703"/>
      <c r="D4" s="703"/>
      <c r="E4" s="703"/>
      <c r="F4" s="703"/>
      <c r="G4" s="703"/>
      <c r="H4" s="703"/>
      <c r="I4" s="703"/>
      <c r="J4" s="703"/>
      <c r="K4" s="703"/>
      <c r="L4" s="703"/>
      <c r="M4" s="703"/>
      <c r="N4" s="703"/>
      <c r="O4" s="703"/>
      <c r="P4" s="703"/>
      <c r="Q4" s="703"/>
      <c r="R4" s="703"/>
      <c r="S4" s="703"/>
      <c r="T4" s="703"/>
    </row>
    <row r="5" spans="2:20" ht="12.75">
      <c r="B5" s="704" t="s">
        <v>184</v>
      </c>
      <c r="C5" s="704"/>
      <c r="D5" s="704"/>
      <c r="E5" s="704"/>
      <c r="F5" s="704"/>
      <c r="G5" s="704"/>
      <c r="H5" s="704"/>
      <c r="I5" s="704"/>
      <c r="J5" s="704"/>
      <c r="K5" s="704"/>
      <c r="L5" s="704"/>
      <c r="M5" s="704"/>
      <c r="N5" s="704"/>
      <c r="O5" s="704"/>
      <c r="P5" s="704"/>
      <c r="Q5" s="704"/>
      <c r="R5" s="704"/>
      <c r="S5" s="704"/>
      <c r="T5" s="704"/>
    </row>
    <row r="6" spans="2:3" ht="7.5" customHeight="1">
      <c r="B6" s="585"/>
      <c r="C6" s="585"/>
    </row>
    <row r="7" spans="2:20" ht="18" customHeight="1">
      <c r="B7" s="699" t="s">
        <v>200</v>
      </c>
      <c r="C7" s="699"/>
      <c r="D7" s="699"/>
      <c r="E7" s="699"/>
      <c r="F7" s="699"/>
      <c r="G7" s="699"/>
      <c r="H7" s="699"/>
      <c r="I7" s="699"/>
      <c r="J7" s="699"/>
      <c r="L7" s="699" t="s">
        <v>201</v>
      </c>
      <c r="M7" s="699"/>
      <c r="N7" s="699"/>
      <c r="O7" s="699"/>
      <c r="P7" s="699"/>
      <c r="Q7" s="699"/>
      <c r="R7" s="699"/>
      <c r="S7" s="699"/>
      <c r="T7" s="699"/>
    </row>
    <row r="8" spans="2:20" ht="9.75" customHeight="1">
      <c r="B8" s="588"/>
      <c r="C8" s="588"/>
      <c r="D8" s="588"/>
      <c r="E8" s="588"/>
      <c r="F8" s="588"/>
      <c r="G8" s="588"/>
      <c r="H8" s="588"/>
      <c r="I8" s="588"/>
      <c r="J8" s="588"/>
      <c r="L8" s="588"/>
      <c r="M8" s="588"/>
      <c r="N8" s="588"/>
      <c r="O8" s="588"/>
      <c r="P8" s="588"/>
      <c r="Q8" s="588"/>
      <c r="R8" s="588"/>
      <c r="S8" s="588"/>
      <c r="T8" s="588"/>
    </row>
    <row r="9" spans="2:20" ht="17.25" customHeight="1">
      <c r="B9" s="708" t="s">
        <v>202</v>
      </c>
      <c r="C9" s="709"/>
      <c r="D9" s="709"/>
      <c r="E9" s="709"/>
      <c r="F9" s="709"/>
      <c r="G9" s="709"/>
      <c r="H9" s="709"/>
      <c r="I9" s="709"/>
      <c r="J9" s="710"/>
      <c r="L9" s="708" t="s">
        <v>202</v>
      </c>
      <c r="M9" s="709"/>
      <c r="N9" s="709"/>
      <c r="O9" s="709"/>
      <c r="P9" s="709"/>
      <c r="Q9" s="709"/>
      <c r="R9" s="709"/>
      <c r="S9" s="709"/>
      <c r="T9" s="710"/>
    </row>
    <row r="10" spans="1:20" s="586" customFormat="1" ht="15" customHeight="1">
      <c r="A10" s="583"/>
      <c r="B10" s="705" t="s">
        <v>263</v>
      </c>
      <c r="C10" s="706"/>
      <c r="D10" s="706"/>
      <c r="E10" s="706"/>
      <c r="F10" s="706"/>
      <c r="G10" s="706"/>
      <c r="H10" s="706"/>
      <c r="I10" s="706"/>
      <c r="J10" s="707"/>
      <c r="L10" s="705" t="s">
        <v>263</v>
      </c>
      <c r="M10" s="706"/>
      <c r="N10" s="706"/>
      <c r="O10" s="706"/>
      <c r="P10" s="706"/>
      <c r="Q10" s="706"/>
      <c r="R10" s="706"/>
      <c r="S10" s="706"/>
      <c r="T10" s="707"/>
    </row>
    <row r="11" spans="1:20" s="586" customFormat="1" ht="21" customHeight="1">
      <c r="A11" s="583"/>
      <c r="B11" s="589" t="s">
        <v>203</v>
      </c>
      <c r="C11" s="589" t="s">
        <v>186</v>
      </c>
      <c r="D11" s="590">
        <v>1</v>
      </c>
      <c r="E11" s="590">
        <v>2</v>
      </c>
      <c r="F11" s="590">
        <v>3</v>
      </c>
      <c r="G11" s="540" t="s">
        <v>32</v>
      </c>
      <c r="H11" s="540" t="s">
        <v>33</v>
      </c>
      <c r="I11" s="602" t="s">
        <v>34</v>
      </c>
      <c r="J11" s="592" t="s">
        <v>122</v>
      </c>
      <c r="L11" s="589" t="s">
        <v>203</v>
      </c>
      <c r="M11" s="589" t="s">
        <v>186</v>
      </c>
      <c r="N11" s="590">
        <v>1</v>
      </c>
      <c r="O11" s="590">
        <v>2</v>
      </c>
      <c r="P11" s="590">
        <v>3</v>
      </c>
      <c r="Q11" s="540" t="s">
        <v>32</v>
      </c>
      <c r="R11" s="540" t="s">
        <v>33</v>
      </c>
      <c r="S11" s="602" t="s">
        <v>34</v>
      </c>
      <c r="T11" s="592" t="s">
        <v>122</v>
      </c>
    </row>
    <row r="12" spans="1:20" s="586" customFormat="1" ht="12.75">
      <c r="A12" s="583"/>
      <c r="B12" s="593" t="s">
        <v>42</v>
      </c>
      <c r="C12" s="593" t="s">
        <v>60</v>
      </c>
      <c r="D12" s="546">
        <v>0.5239854052471137</v>
      </c>
      <c r="E12" s="546">
        <v>0.5197603281453721</v>
      </c>
      <c r="F12" s="546">
        <v>0.7022637029166036</v>
      </c>
      <c r="G12" s="546">
        <v>0.6709242576891186</v>
      </c>
      <c r="H12" s="546">
        <v>0.5663410714940783</v>
      </c>
      <c r="I12" s="546">
        <v>0.5594396689018715</v>
      </c>
      <c r="J12" s="546">
        <v>0.5842916967938521</v>
      </c>
      <c r="L12" s="593" t="s">
        <v>42</v>
      </c>
      <c r="M12" s="593" t="s">
        <v>60</v>
      </c>
      <c r="N12" s="603">
        <v>0.4589413350202214</v>
      </c>
      <c r="O12" s="603">
        <v>0.5472141364134924</v>
      </c>
      <c r="P12" s="603">
        <v>0.7170977262920012</v>
      </c>
      <c r="Q12" s="603">
        <v>0.6702519080876768</v>
      </c>
      <c r="R12" s="603">
        <v>0.55372861747656</v>
      </c>
      <c r="S12" s="603">
        <v>0.5512546679939492</v>
      </c>
      <c r="T12" s="603">
        <v>0.5766576081710864</v>
      </c>
    </row>
    <row r="13" spans="1:20" s="586" customFormat="1" ht="12.75">
      <c r="A13" s="583"/>
      <c r="B13" s="598"/>
      <c r="C13" s="598" t="s">
        <v>61</v>
      </c>
      <c r="D13" s="550">
        <v>0.6075111609094328</v>
      </c>
      <c r="E13" s="550">
        <v>0.8491576412832598</v>
      </c>
      <c r="F13" s="550">
        <v>0.8307457372184059</v>
      </c>
      <c r="G13" s="550">
        <v>0.7591645413178351</v>
      </c>
      <c r="H13" s="550">
        <v>0.6010107036093795</v>
      </c>
      <c r="I13" s="550">
        <v>0.3581712272114283</v>
      </c>
      <c r="J13" s="550">
        <v>0.696263842770132</v>
      </c>
      <c r="L13" s="598"/>
      <c r="M13" s="598" t="s">
        <v>61</v>
      </c>
      <c r="N13" s="604">
        <v>0.5399782003258</v>
      </c>
      <c r="O13" s="604">
        <v>0.8203673303599648</v>
      </c>
      <c r="P13" s="604">
        <v>0.7933645492005573</v>
      </c>
      <c r="Q13" s="604">
        <v>0.7431652366968934</v>
      </c>
      <c r="R13" s="604">
        <v>0.539543808238238</v>
      </c>
      <c r="S13" s="604"/>
      <c r="T13" s="604">
        <v>0.6629389428717191</v>
      </c>
    </row>
    <row r="14" spans="1:20" s="586" customFormat="1" ht="12.75">
      <c r="A14" s="583"/>
      <c r="B14" s="595"/>
      <c r="C14" s="595" t="s">
        <v>189</v>
      </c>
      <c r="D14" s="558">
        <v>0.7778513757100054</v>
      </c>
      <c r="E14" s="558">
        <v>0.8474765855355009</v>
      </c>
      <c r="F14" s="558">
        <v>0.9325886226259636</v>
      </c>
      <c r="G14" s="558">
        <v>0.9026547776000379</v>
      </c>
      <c r="H14" s="558">
        <v>0.8049300810177555</v>
      </c>
      <c r="I14" s="558">
        <v>0.6705992326789924</v>
      </c>
      <c r="J14" s="558">
        <v>0.7998538171427351</v>
      </c>
      <c r="L14" s="595"/>
      <c r="M14" s="595" t="s">
        <v>189</v>
      </c>
      <c r="N14" s="556">
        <v>0.734481967858851</v>
      </c>
      <c r="O14" s="556">
        <v>0.7275261279658359</v>
      </c>
      <c r="P14" s="556">
        <v>0.9041106284771598</v>
      </c>
      <c r="Q14" s="556">
        <v>0.9042157843691355</v>
      </c>
      <c r="R14" s="556">
        <v>0.7845893941366888</v>
      </c>
      <c r="S14" s="556">
        <v>0.7223042448529973</v>
      </c>
      <c r="T14" s="556">
        <v>0.7986676619808186</v>
      </c>
    </row>
    <row r="15" spans="1:26" s="586" customFormat="1" ht="12.75">
      <c r="A15" s="583"/>
      <c r="B15" s="598" t="s">
        <v>43</v>
      </c>
      <c r="C15" s="593" t="s">
        <v>60</v>
      </c>
      <c r="D15" s="550">
        <v>0.34620364433513773</v>
      </c>
      <c r="E15" s="550">
        <v>0.5242341567320509</v>
      </c>
      <c r="F15" s="550">
        <v>0.6201384758379508</v>
      </c>
      <c r="G15" s="550">
        <v>0.4944343243070016</v>
      </c>
      <c r="H15" s="550">
        <v>0.511906441952344</v>
      </c>
      <c r="I15" s="550">
        <v>0.4615370626032559</v>
      </c>
      <c r="J15" s="550">
        <v>0.5032038752510503</v>
      </c>
      <c r="L15" s="598" t="s">
        <v>43</v>
      </c>
      <c r="M15" s="593" t="s">
        <v>60</v>
      </c>
      <c r="N15" s="603">
        <v>0.332302236897931</v>
      </c>
      <c r="O15" s="603">
        <v>0.4955781941503518</v>
      </c>
      <c r="P15" s="603">
        <v>0.622034463861279</v>
      </c>
      <c r="Q15" s="603">
        <v>0.5224442517553061</v>
      </c>
      <c r="R15" s="603">
        <v>0.4808526775734332</v>
      </c>
      <c r="S15" s="603">
        <v>0.4697131196778503</v>
      </c>
      <c r="T15" s="603">
        <v>0.49391160461142775</v>
      </c>
      <c r="W15" s="605"/>
      <c r="Z15" s="605"/>
    </row>
    <row r="16" spans="1:26" s="586" customFormat="1" ht="12.75">
      <c r="A16" s="583"/>
      <c r="B16" s="598"/>
      <c r="C16" s="598" t="s">
        <v>61</v>
      </c>
      <c r="D16" s="550">
        <v>0.5522118754674266</v>
      </c>
      <c r="E16" s="550">
        <v>0.6316296489582724</v>
      </c>
      <c r="F16" s="550">
        <v>0.7017651410789734</v>
      </c>
      <c r="G16" s="550">
        <v>0.6572369629162615</v>
      </c>
      <c r="H16" s="550">
        <v>0.5466969867700052</v>
      </c>
      <c r="I16" s="550">
        <v>0.7183446688674789</v>
      </c>
      <c r="J16" s="550">
        <v>0.613347339467027</v>
      </c>
      <c r="L16" s="598"/>
      <c r="M16" s="598" t="s">
        <v>61</v>
      </c>
      <c r="N16" s="604">
        <v>0.4581343868247948</v>
      </c>
      <c r="O16" s="604">
        <v>0.5877092501473784</v>
      </c>
      <c r="P16" s="604">
        <v>0.6596716262506617</v>
      </c>
      <c r="Q16" s="604">
        <v>0.6087959126732311</v>
      </c>
      <c r="R16" s="604">
        <v>0.4962589089331264</v>
      </c>
      <c r="S16" s="604"/>
      <c r="T16" s="604">
        <v>0.5665573934593219</v>
      </c>
      <c r="W16" s="605"/>
      <c r="Z16" s="605"/>
    </row>
    <row r="17" spans="1:26" s="586" customFormat="1" ht="12.75">
      <c r="A17" s="583"/>
      <c r="B17" s="598"/>
      <c r="C17" s="595" t="s">
        <v>189</v>
      </c>
      <c r="D17" s="550">
        <v>0.8377958720272283</v>
      </c>
      <c r="E17" s="550">
        <v>0.7480838977635367</v>
      </c>
      <c r="F17" s="550">
        <v>0.8628842400500867</v>
      </c>
      <c r="G17" s="550">
        <v>0.875507607522125</v>
      </c>
      <c r="H17" s="550">
        <v>0.7307892848901911</v>
      </c>
      <c r="I17" s="550">
        <v>0.6627244874654306</v>
      </c>
      <c r="J17" s="550">
        <v>0.770856393507812</v>
      </c>
      <c r="L17" s="598"/>
      <c r="M17" s="595" t="s">
        <v>189</v>
      </c>
      <c r="N17" s="604">
        <v>0.8574940465413023</v>
      </c>
      <c r="O17" s="604">
        <v>0.7634114508579419</v>
      </c>
      <c r="P17" s="604">
        <v>0.888632792342752</v>
      </c>
      <c r="Q17" s="604">
        <v>0.903534466124289</v>
      </c>
      <c r="R17" s="604">
        <v>0.7280021152050056</v>
      </c>
      <c r="S17" s="556">
        <v>0.6747870669492125</v>
      </c>
      <c r="T17" s="604">
        <v>0.7847739226853924</v>
      </c>
      <c r="W17" s="605"/>
      <c r="Z17" s="605"/>
    </row>
    <row r="18" spans="1:20" s="586" customFormat="1" ht="12.75">
      <c r="A18" s="583"/>
      <c r="B18" s="593" t="s">
        <v>44</v>
      </c>
      <c r="C18" s="593" t="s">
        <v>60</v>
      </c>
      <c r="D18" s="546">
        <v>0.4041326182052388</v>
      </c>
      <c r="E18" s="546">
        <v>0.44638714541644975</v>
      </c>
      <c r="F18" s="546">
        <v>0.6145187928136834</v>
      </c>
      <c r="G18" s="546">
        <v>0.5620842751767754</v>
      </c>
      <c r="H18" s="546">
        <v>0.45431166231705156</v>
      </c>
      <c r="I18" s="546">
        <v>0.5330947651492886</v>
      </c>
      <c r="J18" s="546">
        <v>0.498160150553359</v>
      </c>
      <c r="L18" s="593" t="s">
        <v>44</v>
      </c>
      <c r="M18" s="593" t="s">
        <v>60</v>
      </c>
      <c r="N18" s="603">
        <v>0.4659791506638956</v>
      </c>
      <c r="O18" s="603">
        <v>0.44429638918037767</v>
      </c>
      <c r="P18" s="603">
        <v>0.6045460739535014</v>
      </c>
      <c r="Q18" s="603">
        <v>0.5567484905926495</v>
      </c>
      <c r="R18" s="603">
        <v>0.46868502083441205</v>
      </c>
      <c r="S18" s="603">
        <v>0.5130790151171839</v>
      </c>
      <c r="T18" s="603">
        <v>0.5048233976422494</v>
      </c>
    </row>
    <row r="19" spans="1:20" s="586" customFormat="1" ht="12.75">
      <c r="A19" s="583"/>
      <c r="B19" s="598"/>
      <c r="C19" s="598" t="s">
        <v>61</v>
      </c>
      <c r="D19" s="550">
        <v>0.5397297745262801</v>
      </c>
      <c r="E19" s="550">
        <v>0.5831537437594208</v>
      </c>
      <c r="F19" s="550">
        <v>0.6380389798960836</v>
      </c>
      <c r="G19" s="550">
        <v>0.6737333267557407</v>
      </c>
      <c r="H19" s="550">
        <v>0.5922835830259666</v>
      </c>
      <c r="I19" s="550">
        <v>0.9578884807889987</v>
      </c>
      <c r="J19" s="550">
        <v>0.614686839469657</v>
      </c>
      <c r="L19" s="598"/>
      <c r="M19" s="598" t="s">
        <v>61</v>
      </c>
      <c r="N19" s="604">
        <v>0.5382675238799037</v>
      </c>
      <c r="O19" s="604">
        <v>0.37622295529870864</v>
      </c>
      <c r="P19" s="604">
        <v>0.6328135465371452</v>
      </c>
      <c r="Q19" s="604">
        <v>0.603757562600629</v>
      </c>
      <c r="R19" s="604">
        <v>0.5281506615807657</v>
      </c>
      <c r="S19" s="604"/>
      <c r="T19" s="604">
        <v>0.5446592570785618</v>
      </c>
    </row>
    <row r="20" spans="1:20" s="586" customFormat="1" ht="12.75">
      <c r="A20" s="583"/>
      <c r="B20" s="595"/>
      <c r="C20" s="595" t="s">
        <v>189</v>
      </c>
      <c r="D20" s="558">
        <v>0.6566771201560834</v>
      </c>
      <c r="E20" s="558">
        <v>0.855773541959743</v>
      </c>
      <c r="F20" s="558">
        <v>0.8848144640556178</v>
      </c>
      <c r="G20" s="558">
        <v>0.8440770011068999</v>
      </c>
      <c r="H20" s="558">
        <v>0.6775925301689543</v>
      </c>
      <c r="I20" s="558">
        <v>0.7672104951559733</v>
      </c>
      <c r="J20" s="558">
        <v>0.760928616820068</v>
      </c>
      <c r="L20" s="595"/>
      <c r="M20" s="595" t="s">
        <v>189</v>
      </c>
      <c r="N20" s="556">
        <v>0.6304427323656456</v>
      </c>
      <c r="O20" s="556">
        <v>0.9751565695736794</v>
      </c>
      <c r="P20" s="556">
        <v>0.8024245846375371</v>
      </c>
      <c r="Q20" s="556">
        <v>0.8997631898019224</v>
      </c>
      <c r="R20" s="556">
        <v>0.70714490314441</v>
      </c>
      <c r="S20" s="556">
        <v>0.7649702965569966</v>
      </c>
      <c r="T20" s="556">
        <v>0.785607547198071</v>
      </c>
    </row>
    <row r="21" spans="1:20" s="586" customFormat="1" ht="12.75">
      <c r="A21" s="583"/>
      <c r="B21" s="598" t="s">
        <v>45</v>
      </c>
      <c r="C21" s="593" t="s">
        <v>60</v>
      </c>
      <c r="D21" s="550">
        <v>0.4154526033780639</v>
      </c>
      <c r="E21" s="550">
        <v>0.3340568004190596</v>
      </c>
      <c r="F21" s="550">
        <v>0.4425647462010127</v>
      </c>
      <c r="G21" s="550">
        <v>0.489227970854393</v>
      </c>
      <c r="H21" s="550">
        <v>0.5053469831819817</v>
      </c>
      <c r="I21" s="550">
        <v>0.5266744302796145</v>
      </c>
      <c r="J21" s="550">
        <v>0.4738355999993788</v>
      </c>
      <c r="L21" s="598" t="s">
        <v>45</v>
      </c>
      <c r="M21" s="593" t="s">
        <v>60</v>
      </c>
      <c r="N21" s="603">
        <v>0.5642586117936328</v>
      </c>
      <c r="O21" s="603">
        <v>0.19679821899372707</v>
      </c>
      <c r="P21" s="603">
        <v>0.5255820114798796</v>
      </c>
      <c r="Q21" s="603">
        <v>0.5008344879097358</v>
      </c>
      <c r="R21" s="603">
        <v>0.4170068338463696</v>
      </c>
      <c r="S21" s="603">
        <v>0.5325354668214339</v>
      </c>
      <c r="T21" s="603">
        <v>0.44930186627347757</v>
      </c>
    </row>
    <row r="22" spans="1:20" s="586" customFormat="1" ht="12.75">
      <c r="A22" s="583"/>
      <c r="B22" s="598"/>
      <c r="C22" s="598" t="s">
        <v>61</v>
      </c>
      <c r="D22" s="550">
        <v>0.46962918003010223</v>
      </c>
      <c r="E22" s="550">
        <v>0.5534530978479935</v>
      </c>
      <c r="F22" s="550">
        <v>0.5822300490979165</v>
      </c>
      <c r="G22" s="550">
        <v>0.7827784578761486</v>
      </c>
      <c r="H22" s="550">
        <v>0.5791488030478387</v>
      </c>
      <c r="I22" s="550">
        <v>0</v>
      </c>
      <c r="J22" s="550">
        <v>0.6111177239922649</v>
      </c>
      <c r="L22" s="598"/>
      <c r="M22" s="598" t="s">
        <v>61</v>
      </c>
      <c r="N22" s="604">
        <v>0.48518253931947686</v>
      </c>
      <c r="O22" s="604">
        <v>0.5574357615164099</v>
      </c>
      <c r="P22" s="604">
        <v>0.5483703947515225</v>
      </c>
      <c r="Q22" s="604">
        <v>0.79072495694702</v>
      </c>
      <c r="R22" s="604">
        <v>0.7014563591856703</v>
      </c>
      <c r="S22" s="604"/>
      <c r="T22" s="604">
        <v>0.6441375526619378</v>
      </c>
    </row>
    <row r="23" spans="1:20" s="586" customFormat="1" ht="12.75">
      <c r="A23" s="583"/>
      <c r="B23" s="595"/>
      <c r="C23" s="595" t="s">
        <v>189</v>
      </c>
      <c r="D23" s="558">
        <v>0.49775897789605733</v>
      </c>
      <c r="E23" s="558">
        <v>0.5819877011657669</v>
      </c>
      <c r="F23" s="558">
        <v>0.8600633274902955</v>
      </c>
      <c r="G23" s="558">
        <v>0.7894996343220211</v>
      </c>
      <c r="H23" s="558">
        <v>0.7935184986209711</v>
      </c>
      <c r="I23" s="558">
        <v>0.9249445180872973</v>
      </c>
      <c r="J23" s="558">
        <v>0.7599424426879535</v>
      </c>
      <c r="L23" s="595"/>
      <c r="M23" s="595" t="s">
        <v>189</v>
      </c>
      <c r="N23" s="556">
        <v>0.42757703326950847</v>
      </c>
      <c r="O23" s="556">
        <v>0.6646232506325978</v>
      </c>
      <c r="P23" s="556">
        <v>0.8767677485240728</v>
      </c>
      <c r="Q23" s="556">
        <v>0.62432853546542</v>
      </c>
      <c r="R23" s="556">
        <v>0.7724410900982613</v>
      </c>
      <c r="S23" s="556">
        <v>1.182542290519149</v>
      </c>
      <c r="T23" s="556">
        <v>0.7395401679842051</v>
      </c>
    </row>
    <row r="24" spans="1:20" s="586" customFormat="1" ht="12.75">
      <c r="A24" s="583"/>
      <c r="B24" s="597"/>
      <c r="C24" s="597"/>
      <c r="D24" s="566"/>
      <c r="E24" s="566"/>
      <c r="F24" s="564"/>
      <c r="G24" s="565"/>
      <c r="H24" s="565"/>
      <c r="I24" s="564"/>
      <c r="J24" s="566"/>
      <c r="L24" s="597"/>
      <c r="M24" s="597"/>
      <c r="N24" s="566"/>
      <c r="O24" s="566"/>
      <c r="P24" s="564"/>
      <c r="Q24" s="565"/>
      <c r="R24" s="565"/>
      <c r="S24" s="564"/>
      <c r="T24" s="566"/>
    </row>
    <row r="25" spans="1:20" s="586" customFormat="1" ht="12.75">
      <c r="A25" s="583"/>
      <c r="B25" s="708" t="s">
        <v>202</v>
      </c>
      <c r="C25" s="709"/>
      <c r="D25" s="709"/>
      <c r="E25" s="709"/>
      <c r="F25" s="709"/>
      <c r="G25" s="709"/>
      <c r="H25" s="709"/>
      <c r="I25" s="709"/>
      <c r="J25" s="710"/>
      <c r="L25" s="708" t="s">
        <v>202</v>
      </c>
      <c r="M25" s="709"/>
      <c r="N25" s="709"/>
      <c r="O25" s="709"/>
      <c r="P25" s="709"/>
      <c r="Q25" s="709"/>
      <c r="R25" s="709"/>
      <c r="S25" s="709"/>
      <c r="T25" s="710"/>
    </row>
    <row r="26" spans="1:20" s="586" customFormat="1" ht="12.75">
      <c r="A26" s="583"/>
      <c r="B26" s="705" t="s">
        <v>204</v>
      </c>
      <c r="C26" s="706"/>
      <c r="D26" s="706"/>
      <c r="E26" s="706"/>
      <c r="F26" s="706"/>
      <c r="G26" s="706"/>
      <c r="H26" s="706"/>
      <c r="I26" s="706"/>
      <c r="J26" s="707"/>
      <c r="L26" s="705" t="s">
        <v>204</v>
      </c>
      <c r="M26" s="706"/>
      <c r="N26" s="706"/>
      <c r="O26" s="706"/>
      <c r="P26" s="706"/>
      <c r="Q26" s="706"/>
      <c r="R26" s="706"/>
      <c r="S26" s="706"/>
      <c r="T26" s="707"/>
    </row>
    <row r="27" spans="1:20" s="586" customFormat="1" ht="12.75">
      <c r="A27" s="583"/>
      <c r="B27" s="589" t="s">
        <v>203</v>
      </c>
      <c r="C27" s="589" t="s">
        <v>186</v>
      </c>
      <c r="D27" s="590">
        <v>1</v>
      </c>
      <c r="E27" s="590">
        <v>2</v>
      </c>
      <c r="F27" s="590">
        <v>3</v>
      </c>
      <c r="G27" s="540" t="s">
        <v>32</v>
      </c>
      <c r="H27" s="540" t="s">
        <v>33</v>
      </c>
      <c r="I27" s="602" t="s">
        <v>34</v>
      </c>
      <c r="J27" s="592" t="s">
        <v>122</v>
      </c>
      <c r="L27" s="589" t="s">
        <v>203</v>
      </c>
      <c r="M27" s="589" t="s">
        <v>186</v>
      </c>
      <c r="N27" s="590">
        <v>1</v>
      </c>
      <c r="O27" s="590">
        <v>2</v>
      </c>
      <c r="P27" s="590">
        <v>3</v>
      </c>
      <c r="Q27" s="540" t="s">
        <v>32</v>
      </c>
      <c r="R27" s="540" t="s">
        <v>33</v>
      </c>
      <c r="S27" s="602" t="s">
        <v>34</v>
      </c>
      <c r="T27" s="592" t="s">
        <v>122</v>
      </c>
    </row>
    <row r="28" spans="1:20" s="586" customFormat="1" ht="12.75">
      <c r="A28" s="583"/>
      <c r="B28" s="593" t="s">
        <v>42</v>
      </c>
      <c r="C28" s="593" t="s">
        <v>60</v>
      </c>
      <c r="D28" s="606">
        <v>60</v>
      </c>
      <c r="E28" s="606">
        <v>102</v>
      </c>
      <c r="F28" s="606">
        <v>240</v>
      </c>
      <c r="G28" s="606">
        <v>666</v>
      </c>
      <c r="H28" s="606">
        <v>1834</v>
      </c>
      <c r="I28" s="606">
        <v>1183</v>
      </c>
      <c r="J28" s="606">
        <v>4085</v>
      </c>
      <c r="L28" s="593" t="s">
        <v>42</v>
      </c>
      <c r="M28" s="593" t="s">
        <v>60</v>
      </c>
      <c r="N28" s="607">
        <v>34</v>
      </c>
      <c r="O28" s="606">
        <v>80</v>
      </c>
      <c r="P28" s="606">
        <v>185</v>
      </c>
      <c r="Q28" s="606">
        <v>542</v>
      </c>
      <c r="R28" s="606">
        <v>1389</v>
      </c>
      <c r="S28" s="606">
        <v>1011</v>
      </c>
      <c r="T28" s="606">
        <v>3241</v>
      </c>
    </row>
    <row r="29" spans="1:20" s="586" customFormat="1" ht="12.75">
      <c r="A29" s="583"/>
      <c r="B29" s="598"/>
      <c r="C29" s="598" t="s">
        <v>61</v>
      </c>
      <c r="D29" s="607">
        <v>98</v>
      </c>
      <c r="E29" s="607">
        <v>194</v>
      </c>
      <c r="F29" s="607">
        <v>249</v>
      </c>
      <c r="G29" s="607">
        <v>466</v>
      </c>
      <c r="H29" s="607">
        <v>600</v>
      </c>
      <c r="I29" s="607">
        <v>7</v>
      </c>
      <c r="J29" s="607">
        <v>1614</v>
      </c>
      <c r="L29" s="598"/>
      <c r="M29" s="598" t="s">
        <v>61</v>
      </c>
      <c r="N29" s="607">
        <v>49</v>
      </c>
      <c r="O29" s="607">
        <v>110</v>
      </c>
      <c r="P29" s="607">
        <v>150</v>
      </c>
      <c r="Q29" s="607">
        <v>292</v>
      </c>
      <c r="R29" s="607">
        <v>286</v>
      </c>
      <c r="S29" s="607"/>
      <c r="T29" s="607">
        <v>887</v>
      </c>
    </row>
    <row r="30" spans="1:20" s="586" customFormat="1" ht="12.75">
      <c r="A30" s="583"/>
      <c r="B30" s="595"/>
      <c r="C30" s="595" t="s">
        <v>189</v>
      </c>
      <c r="D30" s="608">
        <v>166</v>
      </c>
      <c r="E30" s="608">
        <v>281</v>
      </c>
      <c r="F30" s="608">
        <v>401</v>
      </c>
      <c r="G30" s="608">
        <v>1012</v>
      </c>
      <c r="H30" s="608">
        <v>2151</v>
      </c>
      <c r="I30" s="608">
        <v>1072</v>
      </c>
      <c r="J30" s="608">
        <v>5083</v>
      </c>
      <c r="L30" s="595"/>
      <c r="M30" s="595" t="s">
        <v>189</v>
      </c>
      <c r="N30" s="608">
        <v>94</v>
      </c>
      <c r="O30" s="608">
        <v>141</v>
      </c>
      <c r="P30" s="608">
        <v>245</v>
      </c>
      <c r="Q30" s="608">
        <v>684</v>
      </c>
      <c r="R30" s="608">
        <v>1415</v>
      </c>
      <c r="S30" s="608">
        <v>605</v>
      </c>
      <c r="T30" s="608">
        <v>3184</v>
      </c>
    </row>
    <row r="31" spans="1:20" s="586" customFormat="1" ht="12.75">
      <c r="A31" s="583"/>
      <c r="B31" s="598" t="s">
        <v>43</v>
      </c>
      <c r="C31" s="593" t="s">
        <v>60</v>
      </c>
      <c r="D31" s="607">
        <v>46</v>
      </c>
      <c r="E31" s="607">
        <v>106</v>
      </c>
      <c r="F31" s="607">
        <v>172</v>
      </c>
      <c r="G31" s="607">
        <v>306</v>
      </c>
      <c r="H31" s="607">
        <v>852</v>
      </c>
      <c r="I31" s="607">
        <v>268</v>
      </c>
      <c r="J31" s="607">
        <v>1750</v>
      </c>
      <c r="L31" s="598" t="s">
        <v>43</v>
      </c>
      <c r="M31" s="593" t="s">
        <v>60</v>
      </c>
      <c r="N31" s="607">
        <v>32</v>
      </c>
      <c r="O31" s="607">
        <v>76</v>
      </c>
      <c r="P31" s="607">
        <v>130</v>
      </c>
      <c r="Q31" s="607">
        <v>244</v>
      </c>
      <c r="R31" s="607">
        <v>542</v>
      </c>
      <c r="S31" s="607">
        <v>185</v>
      </c>
      <c r="T31" s="607">
        <v>1209</v>
      </c>
    </row>
    <row r="32" spans="1:20" s="586" customFormat="1" ht="12.75">
      <c r="A32" s="583"/>
      <c r="B32" s="598"/>
      <c r="C32" s="598" t="s">
        <v>61</v>
      </c>
      <c r="D32" s="607">
        <v>78</v>
      </c>
      <c r="E32" s="607">
        <v>129</v>
      </c>
      <c r="F32" s="607">
        <v>165</v>
      </c>
      <c r="G32" s="607">
        <v>266</v>
      </c>
      <c r="H32" s="607">
        <v>286</v>
      </c>
      <c r="I32" s="607">
        <v>5</v>
      </c>
      <c r="J32" s="607">
        <v>929</v>
      </c>
      <c r="L32" s="598"/>
      <c r="M32" s="598" t="s">
        <v>61</v>
      </c>
      <c r="N32" s="607">
        <v>47</v>
      </c>
      <c r="O32" s="607">
        <v>92</v>
      </c>
      <c r="P32" s="607">
        <v>118</v>
      </c>
      <c r="Q32" s="607">
        <v>177</v>
      </c>
      <c r="R32" s="607">
        <v>150</v>
      </c>
      <c r="S32" s="607"/>
      <c r="T32" s="607">
        <v>584</v>
      </c>
    </row>
    <row r="33" spans="1:20" s="586" customFormat="1" ht="12.75">
      <c r="A33" s="583"/>
      <c r="B33" s="598"/>
      <c r="C33" s="595" t="s">
        <v>189</v>
      </c>
      <c r="D33" s="607">
        <v>142</v>
      </c>
      <c r="E33" s="607">
        <v>178</v>
      </c>
      <c r="F33" s="607">
        <v>224</v>
      </c>
      <c r="G33" s="607">
        <v>444</v>
      </c>
      <c r="H33" s="607">
        <v>760</v>
      </c>
      <c r="I33" s="607">
        <v>253</v>
      </c>
      <c r="J33" s="607">
        <v>2001</v>
      </c>
      <c r="L33" s="598"/>
      <c r="M33" s="595" t="s">
        <v>189</v>
      </c>
      <c r="N33" s="607">
        <v>104</v>
      </c>
      <c r="O33" s="607">
        <v>128</v>
      </c>
      <c r="P33" s="607">
        <v>156</v>
      </c>
      <c r="Q33" s="607">
        <v>302</v>
      </c>
      <c r="R33" s="607">
        <v>505</v>
      </c>
      <c r="S33" s="607">
        <v>142</v>
      </c>
      <c r="T33" s="607">
        <v>1337</v>
      </c>
    </row>
    <row r="34" spans="1:20" s="586" customFormat="1" ht="12.75">
      <c r="A34" s="583"/>
      <c r="B34" s="593" t="s">
        <v>44</v>
      </c>
      <c r="C34" s="593" t="s">
        <v>60</v>
      </c>
      <c r="D34" s="606">
        <v>40</v>
      </c>
      <c r="E34" s="606">
        <v>64</v>
      </c>
      <c r="F34" s="606">
        <v>107</v>
      </c>
      <c r="G34" s="606">
        <v>196</v>
      </c>
      <c r="H34" s="606">
        <v>354</v>
      </c>
      <c r="I34" s="606">
        <v>117</v>
      </c>
      <c r="J34" s="606">
        <v>878</v>
      </c>
      <c r="L34" s="593" t="s">
        <v>44</v>
      </c>
      <c r="M34" s="593" t="s">
        <v>60</v>
      </c>
      <c r="N34" s="606">
        <v>30</v>
      </c>
      <c r="O34" s="606">
        <v>43</v>
      </c>
      <c r="P34" s="606">
        <v>70</v>
      </c>
      <c r="Q34" s="606">
        <v>133</v>
      </c>
      <c r="R34" s="606">
        <v>229</v>
      </c>
      <c r="S34" s="606">
        <v>68</v>
      </c>
      <c r="T34" s="606">
        <v>573</v>
      </c>
    </row>
    <row r="35" spans="1:20" s="586" customFormat="1" ht="12.75">
      <c r="A35" s="583"/>
      <c r="B35" s="598"/>
      <c r="C35" s="598" t="s">
        <v>61</v>
      </c>
      <c r="D35" s="607">
        <v>53</v>
      </c>
      <c r="E35" s="607">
        <v>74</v>
      </c>
      <c r="F35" s="607">
        <v>88</v>
      </c>
      <c r="G35" s="607">
        <v>153</v>
      </c>
      <c r="H35" s="607">
        <v>176</v>
      </c>
      <c r="I35" s="607">
        <v>4</v>
      </c>
      <c r="J35" s="607">
        <v>548</v>
      </c>
      <c r="L35" s="598"/>
      <c r="M35" s="598" t="s">
        <v>61</v>
      </c>
      <c r="N35" s="607">
        <v>35</v>
      </c>
      <c r="O35" s="607">
        <v>35</v>
      </c>
      <c r="P35" s="607">
        <v>61</v>
      </c>
      <c r="Q35" s="607">
        <v>93</v>
      </c>
      <c r="R35" s="607">
        <v>84</v>
      </c>
      <c r="S35" s="607"/>
      <c r="T35" s="607">
        <v>308</v>
      </c>
    </row>
    <row r="36" spans="1:20" s="586" customFormat="1" ht="12.75">
      <c r="A36" s="583"/>
      <c r="B36" s="595"/>
      <c r="C36" s="595" t="s">
        <v>189</v>
      </c>
      <c r="D36" s="608">
        <v>61</v>
      </c>
      <c r="E36" s="608">
        <v>103</v>
      </c>
      <c r="F36" s="608">
        <v>115</v>
      </c>
      <c r="G36" s="608">
        <v>201</v>
      </c>
      <c r="H36" s="608">
        <v>312</v>
      </c>
      <c r="I36" s="608">
        <v>116</v>
      </c>
      <c r="J36" s="608">
        <v>908</v>
      </c>
      <c r="L36" s="595"/>
      <c r="M36" s="595" t="s">
        <v>189</v>
      </c>
      <c r="N36" s="608">
        <v>38</v>
      </c>
      <c r="O36" s="608">
        <v>77</v>
      </c>
      <c r="P36" s="608">
        <v>64</v>
      </c>
      <c r="Q36" s="608">
        <v>130</v>
      </c>
      <c r="R36" s="608">
        <v>199</v>
      </c>
      <c r="S36" s="608">
        <v>63</v>
      </c>
      <c r="T36" s="608">
        <v>571</v>
      </c>
    </row>
    <row r="37" spans="1:20" s="586" customFormat="1" ht="12.75">
      <c r="A37" s="583"/>
      <c r="B37" s="598" t="s">
        <v>45</v>
      </c>
      <c r="C37" s="593" t="s">
        <v>60</v>
      </c>
      <c r="D37" s="607">
        <v>27</v>
      </c>
      <c r="E37" s="607">
        <v>32</v>
      </c>
      <c r="F37" s="607">
        <v>53</v>
      </c>
      <c r="G37" s="607">
        <v>98</v>
      </c>
      <c r="H37" s="607">
        <v>189</v>
      </c>
      <c r="I37" s="607">
        <v>56</v>
      </c>
      <c r="J37" s="607">
        <v>455</v>
      </c>
      <c r="L37" s="598" t="s">
        <v>45</v>
      </c>
      <c r="M37" s="593" t="s">
        <v>60</v>
      </c>
      <c r="N37" s="607">
        <v>24</v>
      </c>
      <c r="O37" s="607">
        <v>14</v>
      </c>
      <c r="P37" s="607">
        <v>42</v>
      </c>
      <c r="Q37" s="607">
        <v>72</v>
      </c>
      <c r="R37" s="607">
        <v>96</v>
      </c>
      <c r="S37" s="607">
        <v>31</v>
      </c>
      <c r="T37" s="607">
        <v>279</v>
      </c>
    </row>
    <row r="38" spans="1:20" s="586" customFormat="1" ht="12.75">
      <c r="A38" s="583"/>
      <c r="B38" s="598"/>
      <c r="C38" s="598" t="s">
        <v>61</v>
      </c>
      <c r="D38" s="607">
        <v>33</v>
      </c>
      <c r="E38" s="607">
        <v>43</v>
      </c>
      <c r="F38" s="607">
        <v>52</v>
      </c>
      <c r="G38" s="607">
        <v>97</v>
      </c>
      <c r="H38" s="607">
        <v>86</v>
      </c>
      <c r="I38" s="607">
        <v>0</v>
      </c>
      <c r="J38" s="607">
        <v>311</v>
      </c>
      <c r="L38" s="598"/>
      <c r="M38" s="598" t="s">
        <v>61</v>
      </c>
      <c r="N38" s="607">
        <v>23</v>
      </c>
      <c r="O38" s="607">
        <v>30</v>
      </c>
      <c r="P38" s="607">
        <v>35</v>
      </c>
      <c r="Q38" s="607">
        <v>70</v>
      </c>
      <c r="R38" s="607">
        <v>55</v>
      </c>
      <c r="S38" s="607"/>
      <c r="T38" s="607">
        <v>213</v>
      </c>
    </row>
    <row r="39" spans="1:20" s="586" customFormat="1" ht="12.75">
      <c r="A39" s="583"/>
      <c r="B39" s="595"/>
      <c r="C39" s="595" t="s">
        <v>189</v>
      </c>
      <c r="D39" s="608">
        <v>33</v>
      </c>
      <c r="E39" s="608">
        <v>47</v>
      </c>
      <c r="F39" s="608">
        <v>65</v>
      </c>
      <c r="G39" s="608">
        <v>106</v>
      </c>
      <c r="H39" s="608">
        <v>184</v>
      </c>
      <c r="I39" s="608">
        <v>68</v>
      </c>
      <c r="J39" s="608">
        <v>503</v>
      </c>
      <c r="L39" s="595"/>
      <c r="M39" s="595" t="s">
        <v>189</v>
      </c>
      <c r="N39" s="608">
        <v>18</v>
      </c>
      <c r="O39" s="608">
        <v>33</v>
      </c>
      <c r="P39" s="608">
        <v>40</v>
      </c>
      <c r="Q39" s="608">
        <v>54</v>
      </c>
      <c r="R39" s="608">
        <v>111</v>
      </c>
      <c r="S39" s="608">
        <v>39</v>
      </c>
      <c r="T39" s="608">
        <v>295</v>
      </c>
    </row>
    <row r="40" spans="1:18" s="586" customFormat="1" ht="12.75">
      <c r="A40" s="583"/>
      <c r="G40" s="587"/>
      <c r="H40" s="587"/>
      <c r="Q40" s="587"/>
      <c r="R40" s="587"/>
    </row>
    <row r="41" spans="1:20" s="586" customFormat="1" ht="15.75">
      <c r="A41" s="583"/>
      <c r="B41" s="699" t="s">
        <v>205</v>
      </c>
      <c r="C41" s="699"/>
      <c r="D41" s="699"/>
      <c r="E41" s="699"/>
      <c r="F41" s="699"/>
      <c r="G41" s="699"/>
      <c r="H41" s="699"/>
      <c r="I41" s="699"/>
      <c r="J41" s="699"/>
      <c r="L41" s="699" t="s">
        <v>206</v>
      </c>
      <c r="M41" s="699"/>
      <c r="N41" s="699"/>
      <c r="O41" s="699"/>
      <c r="P41" s="699"/>
      <c r="Q41" s="699"/>
      <c r="R41" s="699"/>
      <c r="S41" s="699"/>
      <c r="T41" s="699"/>
    </row>
    <row r="42" spans="1:20" s="586" customFormat="1" ht="6.75" customHeight="1">
      <c r="A42" s="583"/>
      <c r="B42" s="588"/>
      <c r="C42" s="588"/>
      <c r="D42" s="588"/>
      <c r="E42" s="588"/>
      <c r="F42" s="588"/>
      <c r="G42" s="588"/>
      <c r="H42" s="588"/>
      <c r="I42" s="588"/>
      <c r="J42" s="588"/>
      <c r="L42" s="588"/>
      <c r="M42" s="588"/>
      <c r="N42" s="588"/>
      <c r="O42" s="588"/>
      <c r="P42" s="588"/>
      <c r="Q42" s="588"/>
      <c r="R42" s="588"/>
      <c r="S42" s="588"/>
      <c r="T42" s="588"/>
    </row>
    <row r="43" spans="1:20" s="586" customFormat="1" ht="12.75">
      <c r="A43" s="583"/>
      <c r="B43" s="708" t="s">
        <v>202</v>
      </c>
      <c r="C43" s="709"/>
      <c r="D43" s="709"/>
      <c r="E43" s="709"/>
      <c r="F43" s="709"/>
      <c r="G43" s="709"/>
      <c r="H43" s="709"/>
      <c r="I43" s="709"/>
      <c r="J43" s="710"/>
      <c r="L43" s="708" t="s">
        <v>202</v>
      </c>
      <c r="M43" s="709"/>
      <c r="N43" s="709"/>
      <c r="O43" s="709"/>
      <c r="P43" s="709"/>
      <c r="Q43" s="709"/>
      <c r="R43" s="709"/>
      <c r="S43" s="709"/>
      <c r="T43" s="710"/>
    </row>
    <row r="44" spans="1:20" s="586" customFormat="1" ht="12.75">
      <c r="A44" s="583"/>
      <c r="B44" s="705" t="s">
        <v>263</v>
      </c>
      <c r="C44" s="706"/>
      <c r="D44" s="706"/>
      <c r="E44" s="706"/>
      <c r="F44" s="706"/>
      <c r="G44" s="706"/>
      <c r="H44" s="706"/>
      <c r="I44" s="706"/>
      <c r="J44" s="707"/>
      <c r="L44" s="705" t="s">
        <v>263</v>
      </c>
      <c r="M44" s="706"/>
      <c r="N44" s="706"/>
      <c r="O44" s="706"/>
      <c r="P44" s="706"/>
      <c r="Q44" s="706"/>
      <c r="R44" s="706"/>
      <c r="S44" s="706"/>
      <c r="T44" s="707"/>
    </row>
    <row r="45" spans="1:20" s="586" customFormat="1" ht="12.75">
      <c r="A45" s="583"/>
      <c r="B45" s="589" t="s">
        <v>203</v>
      </c>
      <c r="C45" s="589" t="s">
        <v>186</v>
      </c>
      <c r="D45" s="590">
        <v>1</v>
      </c>
      <c r="E45" s="590">
        <v>2</v>
      </c>
      <c r="F45" s="590">
        <v>3</v>
      </c>
      <c r="G45" s="540" t="s">
        <v>32</v>
      </c>
      <c r="H45" s="540" t="s">
        <v>33</v>
      </c>
      <c r="I45" s="602" t="s">
        <v>34</v>
      </c>
      <c r="J45" s="592" t="s">
        <v>122</v>
      </c>
      <c r="L45" s="589" t="s">
        <v>203</v>
      </c>
      <c r="M45" s="589" t="s">
        <v>186</v>
      </c>
      <c r="N45" s="590">
        <v>1</v>
      </c>
      <c r="O45" s="590">
        <v>2</v>
      </c>
      <c r="P45" s="590">
        <v>3</v>
      </c>
      <c r="Q45" s="540" t="s">
        <v>32</v>
      </c>
      <c r="R45" s="540" t="s">
        <v>33</v>
      </c>
      <c r="S45" s="602" t="s">
        <v>34</v>
      </c>
      <c r="T45" s="592" t="s">
        <v>122</v>
      </c>
    </row>
    <row r="46" spans="1:20" s="586" customFormat="1" ht="12.75">
      <c r="A46" s="583"/>
      <c r="B46" s="593" t="s">
        <v>42</v>
      </c>
      <c r="C46" s="593" t="s">
        <v>60</v>
      </c>
      <c r="D46" s="546">
        <v>0.5718662367514372</v>
      </c>
      <c r="E46" s="546">
        <v>0.7882038255398848</v>
      </c>
      <c r="F46" s="546">
        <v>0.9589492466389126</v>
      </c>
      <c r="G46" s="546">
        <v>0.8334664467723558</v>
      </c>
      <c r="H46" s="546">
        <v>0.7693214180509333</v>
      </c>
      <c r="I46" s="546">
        <v>0.7336481027265782</v>
      </c>
      <c r="J46" s="546">
        <v>0.7756665545040811</v>
      </c>
      <c r="L46" s="593" t="s">
        <v>42</v>
      </c>
      <c r="M46" s="593" t="s">
        <v>60</v>
      </c>
      <c r="N46" s="546">
        <v>0.5778042816815504</v>
      </c>
      <c r="O46" s="546">
        <v>0.814741393517947</v>
      </c>
      <c r="P46" s="546">
        <v>0.8188625682732135</v>
      </c>
      <c r="Q46" s="546">
        <v>0.8297740537885472</v>
      </c>
      <c r="R46" s="546">
        <v>0.7463469057366595</v>
      </c>
      <c r="S46" s="546">
        <v>0.7427027286647808</v>
      </c>
      <c r="T46" s="546">
        <v>0.7601052564890883</v>
      </c>
    </row>
    <row r="47" spans="1:20" s="586" customFormat="1" ht="12.75">
      <c r="A47" s="583"/>
      <c r="B47" s="595"/>
      <c r="C47" s="595" t="s">
        <v>62</v>
      </c>
      <c r="D47" s="558">
        <v>0.8641299144881383</v>
      </c>
      <c r="E47" s="558">
        <v>1.1578193600315412</v>
      </c>
      <c r="F47" s="558">
        <v>1.2178377035278025</v>
      </c>
      <c r="G47" s="558">
        <v>1.1265749433316556</v>
      </c>
      <c r="H47" s="558">
        <v>0.9625354076178136</v>
      </c>
      <c r="I47" s="558">
        <v>0.9982995518839208</v>
      </c>
      <c r="J47" s="558">
        <v>1.0352259617543238</v>
      </c>
      <c r="L47" s="595"/>
      <c r="M47" s="595" t="s">
        <v>62</v>
      </c>
      <c r="N47" s="558">
        <v>0.7792913229104699</v>
      </c>
      <c r="O47" s="558">
        <v>1.1029619476793964</v>
      </c>
      <c r="P47" s="558">
        <v>1.2002634897367213</v>
      </c>
      <c r="Q47" s="558">
        <v>1.0108391789914393</v>
      </c>
      <c r="R47" s="558">
        <v>0.9203070087869673</v>
      </c>
      <c r="S47" s="558">
        <v>1.0252436473617084</v>
      </c>
      <c r="T47" s="558">
        <v>0.9918515550780734</v>
      </c>
    </row>
    <row r="48" spans="1:20" s="586" customFormat="1" ht="12.75">
      <c r="A48" s="583"/>
      <c r="B48" s="598" t="s">
        <v>43</v>
      </c>
      <c r="C48" s="593" t="s">
        <v>60</v>
      </c>
      <c r="D48" s="550">
        <v>0.7658253992934234</v>
      </c>
      <c r="E48" s="550">
        <v>0.7497838764823741</v>
      </c>
      <c r="F48" s="550">
        <v>0.7568458798475695</v>
      </c>
      <c r="G48" s="550">
        <v>0.5920417407798733</v>
      </c>
      <c r="H48" s="550">
        <v>0.6254807387579537</v>
      </c>
      <c r="I48" s="550">
        <v>0.6510533633435786</v>
      </c>
      <c r="J48" s="550">
        <v>0.6594481330234968</v>
      </c>
      <c r="L48" s="598" t="s">
        <v>43</v>
      </c>
      <c r="M48" s="593" t="s">
        <v>60</v>
      </c>
      <c r="N48" s="550">
        <v>0.7734575075505605</v>
      </c>
      <c r="O48" s="550">
        <v>0.618715660593704</v>
      </c>
      <c r="P48" s="550">
        <v>0.7920771618846804</v>
      </c>
      <c r="Q48" s="550">
        <v>0.49433936354894564</v>
      </c>
      <c r="R48" s="550">
        <v>0.5749550029253258</v>
      </c>
      <c r="S48" s="550">
        <v>0.5490869065551768</v>
      </c>
      <c r="T48" s="550">
        <v>0.5935565829695693</v>
      </c>
    </row>
    <row r="49" spans="1:20" s="586" customFormat="1" ht="12.75">
      <c r="A49" s="583"/>
      <c r="B49" s="598"/>
      <c r="C49" s="595" t="s">
        <v>62</v>
      </c>
      <c r="D49" s="550">
        <v>0.9224489854439073</v>
      </c>
      <c r="E49" s="550">
        <v>0.6367235144479306</v>
      </c>
      <c r="F49" s="550">
        <v>0.8599232660419315</v>
      </c>
      <c r="G49" s="550">
        <v>0.7990464620603133</v>
      </c>
      <c r="H49" s="550">
        <v>1.0251303208311475</v>
      </c>
      <c r="I49" s="550">
        <v>1.040957637718281</v>
      </c>
      <c r="J49" s="550">
        <v>0.9154258481307057</v>
      </c>
      <c r="L49" s="598"/>
      <c r="M49" s="595" t="s">
        <v>62</v>
      </c>
      <c r="N49" s="550">
        <v>1.1693693118658806</v>
      </c>
      <c r="O49" s="550">
        <v>0.7360523463330649</v>
      </c>
      <c r="P49" s="550">
        <v>0.7783985865845074</v>
      </c>
      <c r="Q49" s="550">
        <v>0.8177313005420986</v>
      </c>
      <c r="R49" s="550">
        <v>0.9802451179588452</v>
      </c>
      <c r="S49" s="550">
        <v>1.0302389920844635</v>
      </c>
      <c r="T49" s="550">
        <v>0.9194661202626844</v>
      </c>
    </row>
    <row r="50" spans="1:20" s="586" customFormat="1" ht="12.75">
      <c r="A50" s="583"/>
      <c r="B50" s="593" t="s">
        <v>44</v>
      </c>
      <c r="C50" s="593" t="s">
        <v>60</v>
      </c>
      <c r="D50" s="546">
        <v>0.7338567491308087</v>
      </c>
      <c r="E50" s="546">
        <v>0.6622077288340036</v>
      </c>
      <c r="F50" s="546">
        <v>0.8114163735079165</v>
      </c>
      <c r="G50" s="546">
        <v>0.6852093847533397</v>
      </c>
      <c r="H50" s="546">
        <v>0.678640816103806</v>
      </c>
      <c r="I50" s="546">
        <v>0.731942767592469</v>
      </c>
      <c r="J50" s="546">
        <v>0.7046064465746844</v>
      </c>
      <c r="L50" s="593" t="s">
        <v>44</v>
      </c>
      <c r="M50" s="593" t="s">
        <v>60</v>
      </c>
      <c r="N50" s="546">
        <v>0.831178821668096</v>
      </c>
      <c r="O50" s="546">
        <v>0.5853966895970443</v>
      </c>
      <c r="P50" s="546">
        <v>0.9180924776460709</v>
      </c>
      <c r="Q50" s="546">
        <v>0.6917458373338214</v>
      </c>
      <c r="R50" s="546">
        <v>0.7744512740919295</v>
      </c>
      <c r="S50" s="546">
        <v>0.7972717262364472</v>
      </c>
      <c r="T50" s="546">
        <v>0.761115371188927</v>
      </c>
    </row>
    <row r="51" spans="1:20" s="586" customFormat="1" ht="12.75">
      <c r="A51" s="583"/>
      <c r="B51" s="595"/>
      <c r="C51" s="595" t="s">
        <v>62</v>
      </c>
      <c r="D51" s="558">
        <v>0.7783723973811679</v>
      </c>
      <c r="E51" s="558">
        <v>0.6196890599834315</v>
      </c>
      <c r="F51" s="558">
        <v>0.9744545110192505</v>
      </c>
      <c r="G51" s="558">
        <v>1.1375116154114748</v>
      </c>
      <c r="H51" s="558">
        <v>0.8343835342466164</v>
      </c>
      <c r="I51" s="558">
        <v>1.4067652055511437</v>
      </c>
      <c r="J51" s="558">
        <v>0.9386939364832074</v>
      </c>
      <c r="L51" s="595"/>
      <c r="M51" s="595" t="s">
        <v>62</v>
      </c>
      <c r="N51" s="558">
        <v>0.8215737058479115</v>
      </c>
      <c r="O51" s="558">
        <v>0.7835499865872723</v>
      </c>
      <c r="P51" s="558">
        <v>1.2877218678349949</v>
      </c>
      <c r="Q51" s="558">
        <v>1.1866483746633583</v>
      </c>
      <c r="R51" s="558">
        <v>0.7199894684262027</v>
      </c>
      <c r="S51" s="558">
        <v>1.0304307703720321</v>
      </c>
      <c r="T51" s="558">
        <v>0.9341834561042613</v>
      </c>
    </row>
    <row r="52" spans="1:20" s="586" customFormat="1" ht="12.75">
      <c r="A52" s="583"/>
      <c r="B52" s="598" t="s">
        <v>45</v>
      </c>
      <c r="C52" s="593" t="s">
        <v>60</v>
      </c>
      <c r="D52" s="550">
        <v>0.4124392481327573</v>
      </c>
      <c r="E52" s="550">
        <v>0.5144487829806202</v>
      </c>
      <c r="F52" s="550">
        <v>0.4491447889918749</v>
      </c>
      <c r="G52" s="550">
        <v>0.6481670461043788</v>
      </c>
      <c r="H52" s="550">
        <v>0.8336190242218274</v>
      </c>
      <c r="I52" s="550">
        <v>0.5321212668414524</v>
      </c>
      <c r="J52" s="550">
        <v>0.6378259540636212</v>
      </c>
      <c r="L52" s="598" t="s">
        <v>45</v>
      </c>
      <c r="M52" s="593" t="s">
        <v>60</v>
      </c>
      <c r="N52" s="550">
        <v>0.6580980931996298</v>
      </c>
      <c r="O52" s="550">
        <v>0.5158905041837432</v>
      </c>
      <c r="P52" s="550">
        <v>0.306739123153813</v>
      </c>
      <c r="Q52" s="550">
        <v>0.26874352318431544</v>
      </c>
      <c r="R52" s="550">
        <v>0.6578100777015948</v>
      </c>
      <c r="S52" s="550">
        <v>0.2963511905151629</v>
      </c>
      <c r="T52" s="550">
        <v>0.48038287074489006</v>
      </c>
    </row>
    <row r="53" spans="1:20" s="586" customFormat="1" ht="12.75">
      <c r="A53" s="583"/>
      <c r="B53" s="595"/>
      <c r="C53" s="595" t="s">
        <v>62</v>
      </c>
      <c r="D53" s="558">
        <v>0.3504217838958832</v>
      </c>
      <c r="E53" s="558">
        <v>0.6886106263117258</v>
      </c>
      <c r="F53" s="558">
        <v>0.2728395026684295</v>
      </c>
      <c r="G53" s="558">
        <v>0.8347162375938322</v>
      </c>
      <c r="H53" s="558">
        <v>0.8751048232582648</v>
      </c>
      <c r="I53" s="558">
        <v>0.660520908245469</v>
      </c>
      <c r="J53" s="558">
        <v>0.6960913739401219</v>
      </c>
      <c r="L53" s="595"/>
      <c r="M53" s="595" t="s">
        <v>62</v>
      </c>
      <c r="N53" s="558">
        <v>0.22326556647688572</v>
      </c>
      <c r="O53" s="558">
        <v>0.4631232520997671</v>
      </c>
      <c r="P53" s="558">
        <v>0.2224132833737902</v>
      </c>
      <c r="Q53" s="558">
        <v>0.8298097349713396</v>
      </c>
      <c r="R53" s="558">
        <v>0.6492126302629763</v>
      </c>
      <c r="S53" s="558">
        <v>0.7267381597833433</v>
      </c>
      <c r="T53" s="558">
        <v>0.5771013390045859</v>
      </c>
    </row>
    <row r="54" spans="1:18" s="586" customFormat="1" ht="12.75">
      <c r="A54" s="583"/>
      <c r="G54" s="587"/>
      <c r="H54" s="587"/>
      <c r="Q54" s="587"/>
      <c r="R54" s="587"/>
    </row>
    <row r="55" spans="1:20" s="586" customFormat="1" ht="12.75">
      <c r="A55" s="583"/>
      <c r="B55" s="708" t="s">
        <v>202</v>
      </c>
      <c r="C55" s="709"/>
      <c r="D55" s="709"/>
      <c r="E55" s="709"/>
      <c r="F55" s="709"/>
      <c r="G55" s="709"/>
      <c r="H55" s="709"/>
      <c r="I55" s="709"/>
      <c r="J55" s="710"/>
      <c r="L55" s="708" t="s">
        <v>202</v>
      </c>
      <c r="M55" s="709"/>
      <c r="N55" s="709"/>
      <c r="O55" s="709"/>
      <c r="P55" s="709"/>
      <c r="Q55" s="709"/>
      <c r="R55" s="709"/>
      <c r="S55" s="709"/>
      <c r="T55" s="710"/>
    </row>
    <row r="56" spans="1:20" s="586" customFormat="1" ht="12.75">
      <c r="A56" s="583"/>
      <c r="B56" s="705" t="s">
        <v>204</v>
      </c>
      <c r="C56" s="706"/>
      <c r="D56" s="706"/>
      <c r="E56" s="706"/>
      <c r="F56" s="706"/>
      <c r="G56" s="706"/>
      <c r="H56" s="706"/>
      <c r="I56" s="706"/>
      <c r="J56" s="707"/>
      <c r="L56" s="705" t="s">
        <v>204</v>
      </c>
      <c r="M56" s="706"/>
      <c r="N56" s="706"/>
      <c r="O56" s="706"/>
      <c r="P56" s="706"/>
      <c r="Q56" s="706"/>
      <c r="R56" s="706"/>
      <c r="S56" s="706"/>
      <c r="T56" s="707"/>
    </row>
    <row r="57" spans="1:20" s="586" customFormat="1" ht="12.75">
      <c r="A57" s="583"/>
      <c r="B57" s="589" t="s">
        <v>203</v>
      </c>
      <c r="C57" s="589" t="s">
        <v>186</v>
      </c>
      <c r="D57" s="590">
        <v>1</v>
      </c>
      <c r="E57" s="590">
        <v>2</v>
      </c>
      <c r="F57" s="590">
        <v>3</v>
      </c>
      <c r="G57" s="540" t="s">
        <v>32</v>
      </c>
      <c r="H57" s="540" t="s">
        <v>33</v>
      </c>
      <c r="I57" s="602" t="s">
        <v>34</v>
      </c>
      <c r="J57" s="592" t="s">
        <v>122</v>
      </c>
      <c r="L57" s="589" t="s">
        <v>203</v>
      </c>
      <c r="M57" s="589" t="s">
        <v>186</v>
      </c>
      <c r="N57" s="590">
        <v>1</v>
      </c>
      <c r="O57" s="590">
        <v>2</v>
      </c>
      <c r="P57" s="590">
        <v>3</v>
      </c>
      <c r="Q57" s="540" t="s">
        <v>32</v>
      </c>
      <c r="R57" s="540" t="s">
        <v>33</v>
      </c>
      <c r="S57" s="602" t="s">
        <v>34</v>
      </c>
      <c r="T57" s="592" t="s">
        <v>122</v>
      </c>
    </row>
    <row r="58" spans="1:20" s="586" customFormat="1" ht="12.75">
      <c r="A58" s="583"/>
      <c r="B58" s="593" t="s">
        <v>42</v>
      </c>
      <c r="C58" s="593" t="s">
        <v>60</v>
      </c>
      <c r="D58" s="606">
        <v>44</v>
      </c>
      <c r="E58" s="606">
        <v>77</v>
      </c>
      <c r="F58" s="606">
        <v>105</v>
      </c>
      <c r="G58" s="606">
        <v>200</v>
      </c>
      <c r="H58" s="606">
        <v>465</v>
      </c>
      <c r="I58" s="606">
        <v>317</v>
      </c>
      <c r="J58" s="606">
        <v>1208</v>
      </c>
      <c r="L58" s="593" t="s">
        <v>42</v>
      </c>
      <c r="M58" s="593" t="s">
        <v>60</v>
      </c>
      <c r="N58" s="606">
        <v>19</v>
      </c>
      <c r="O58" s="606">
        <v>42</v>
      </c>
      <c r="P58" s="606">
        <v>58</v>
      </c>
      <c r="Q58" s="606">
        <v>124</v>
      </c>
      <c r="R58" s="606">
        <v>286</v>
      </c>
      <c r="S58" s="606">
        <v>289</v>
      </c>
      <c r="T58" s="606">
        <v>818</v>
      </c>
    </row>
    <row r="59" spans="1:20" s="586" customFormat="1" ht="12.75">
      <c r="A59" s="583"/>
      <c r="B59" s="595"/>
      <c r="C59" s="595" t="s">
        <v>62</v>
      </c>
      <c r="D59" s="608">
        <v>48</v>
      </c>
      <c r="E59" s="608">
        <v>85</v>
      </c>
      <c r="F59" s="608">
        <v>112</v>
      </c>
      <c r="G59" s="608">
        <v>202</v>
      </c>
      <c r="H59" s="608">
        <v>381</v>
      </c>
      <c r="I59" s="608">
        <v>153</v>
      </c>
      <c r="J59" s="608">
        <v>981</v>
      </c>
      <c r="L59" s="595"/>
      <c r="M59" s="595" t="s">
        <v>62</v>
      </c>
      <c r="N59" s="608">
        <v>25</v>
      </c>
      <c r="O59" s="608">
        <v>56</v>
      </c>
      <c r="P59" s="608">
        <v>80</v>
      </c>
      <c r="Q59" s="608">
        <v>128</v>
      </c>
      <c r="R59" s="608">
        <v>250</v>
      </c>
      <c r="S59" s="608">
        <v>124</v>
      </c>
      <c r="T59" s="608">
        <v>663</v>
      </c>
    </row>
    <row r="60" spans="1:20" s="586" customFormat="1" ht="12.75">
      <c r="A60" s="583"/>
      <c r="B60" s="598" t="s">
        <v>43</v>
      </c>
      <c r="C60" s="593" t="s">
        <v>60</v>
      </c>
      <c r="D60" s="607">
        <v>27</v>
      </c>
      <c r="E60" s="607">
        <v>32</v>
      </c>
      <c r="F60" s="607">
        <v>35</v>
      </c>
      <c r="G60" s="607">
        <v>51</v>
      </c>
      <c r="H60" s="607">
        <v>107</v>
      </c>
      <c r="I60" s="607">
        <v>34</v>
      </c>
      <c r="J60" s="607">
        <v>286</v>
      </c>
      <c r="L60" s="598" t="s">
        <v>43</v>
      </c>
      <c r="M60" s="593" t="s">
        <v>60</v>
      </c>
      <c r="N60" s="607">
        <v>13</v>
      </c>
      <c r="O60" s="607">
        <v>16</v>
      </c>
      <c r="P60" s="607">
        <v>23</v>
      </c>
      <c r="Q60" s="607">
        <v>27</v>
      </c>
      <c r="R60" s="607">
        <v>62</v>
      </c>
      <c r="S60" s="607">
        <v>24</v>
      </c>
      <c r="T60" s="607">
        <v>165</v>
      </c>
    </row>
    <row r="61" spans="1:20" s="586" customFormat="1" ht="12.75">
      <c r="A61" s="583"/>
      <c r="B61" s="598"/>
      <c r="C61" s="595" t="s">
        <v>62</v>
      </c>
      <c r="D61" s="607">
        <v>22</v>
      </c>
      <c r="E61" s="607">
        <v>19</v>
      </c>
      <c r="F61" s="607">
        <v>29</v>
      </c>
      <c r="G61" s="607">
        <v>48</v>
      </c>
      <c r="H61" s="607">
        <v>115</v>
      </c>
      <c r="I61" s="607">
        <v>34</v>
      </c>
      <c r="J61" s="607">
        <v>267</v>
      </c>
      <c r="L61" s="598"/>
      <c r="M61" s="595" t="s">
        <v>62</v>
      </c>
      <c r="N61" s="607">
        <v>18</v>
      </c>
      <c r="O61" s="607">
        <v>16</v>
      </c>
      <c r="P61" s="607">
        <v>18</v>
      </c>
      <c r="Q61" s="607">
        <v>33</v>
      </c>
      <c r="R61" s="607">
        <v>76</v>
      </c>
      <c r="S61" s="607">
        <v>25</v>
      </c>
      <c r="T61" s="607">
        <v>186</v>
      </c>
    </row>
    <row r="62" spans="1:20" s="586" customFormat="1" ht="12.75">
      <c r="A62" s="583"/>
      <c r="B62" s="593" t="s">
        <v>44</v>
      </c>
      <c r="C62" s="593" t="s">
        <v>60</v>
      </c>
      <c r="D62" s="606">
        <v>13</v>
      </c>
      <c r="E62" s="606">
        <v>12</v>
      </c>
      <c r="F62" s="606">
        <v>16</v>
      </c>
      <c r="G62" s="606">
        <v>26</v>
      </c>
      <c r="H62" s="606">
        <v>42</v>
      </c>
      <c r="I62" s="606">
        <v>9</v>
      </c>
      <c r="J62" s="606">
        <v>118</v>
      </c>
      <c r="L62" s="593" t="s">
        <v>44</v>
      </c>
      <c r="M62" s="593" t="s">
        <v>60</v>
      </c>
      <c r="N62" s="606">
        <v>7</v>
      </c>
      <c r="O62" s="606">
        <v>6</v>
      </c>
      <c r="P62" s="606">
        <v>11</v>
      </c>
      <c r="Q62" s="606">
        <v>16</v>
      </c>
      <c r="R62" s="606">
        <v>28</v>
      </c>
      <c r="S62" s="606">
        <v>7</v>
      </c>
      <c r="T62" s="606">
        <v>75</v>
      </c>
    </row>
    <row r="63" spans="1:20" s="586" customFormat="1" ht="12.75">
      <c r="A63" s="583"/>
      <c r="B63" s="595"/>
      <c r="C63" s="595" t="s">
        <v>62</v>
      </c>
      <c r="D63" s="608">
        <v>9</v>
      </c>
      <c r="E63" s="608">
        <v>8</v>
      </c>
      <c r="F63" s="608">
        <v>13</v>
      </c>
      <c r="G63" s="608">
        <v>28</v>
      </c>
      <c r="H63" s="608">
        <v>36</v>
      </c>
      <c r="I63" s="608">
        <v>12</v>
      </c>
      <c r="J63" s="608">
        <v>106</v>
      </c>
      <c r="L63" s="595"/>
      <c r="M63" s="595" t="s">
        <v>62</v>
      </c>
      <c r="N63" s="608">
        <v>6</v>
      </c>
      <c r="O63" s="608">
        <v>7</v>
      </c>
      <c r="P63" s="608">
        <v>12</v>
      </c>
      <c r="Q63" s="608">
        <v>19</v>
      </c>
      <c r="R63" s="608">
        <v>21</v>
      </c>
      <c r="S63" s="608">
        <v>6</v>
      </c>
      <c r="T63" s="608">
        <v>71</v>
      </c>
    </row>
    <row r="64" spans="1:20" s="586" customFormat="1" ht="12.75">
      <c r="A64" s="583"/>
      <c r="B64" s="598" t="s">
        <v>45</v>
      </c>
      <c r="C64" s="593" t="s">
        <v>60</v>
      </c>
      <c r="D64" s="607">
        <v>4</v>
      </c>
      <c r="E64" s="607">
        <v>5</v>
      </c>
      <c r="F64" s="607">
        <v>5</v>
      </c>
      <c r="G64" s="607">
        <v>10</v>
      </c>
      <c r="H64" s="607">
        <v>21</v>
      </c>
      <c r="I64" s="607">
        <v>3</v>
      </c>
      <c r="J64" s="607">
        <v>48</v>
      </c>
      <c r="L64" s="598" t="s">
        <v>45</v>
      </c>
      <c r="M64" s="593" t="s">
        <v>60</v>
      </c>
      <c r="N64" s="607">
        <v>3</v>
      </c>
      <c r="O64" s="607">
        <v>3</v>
      </c>
      <c r="P64" s="607">
        <v>2</v>
      </c>
      <c r="Q64" s="607">
        <v>3</v>
      </c>
      <c r="R64" s="607">
        <v>11</v>
      </c>
      <c r="S64" s="607">
        <v>1</v>
      </c>
      <c r="T64" s="607">
        <v>23</v>
      </c>
    </row>
    <row r="65" spans="1:20" s="586" customFormat="1" ht="12.75">
      <c r="A65" s="583"/>
      <c r="B65" s="595"/>
      <c r="C65" s="595" t="s">
        <v>62</v>
      </c>
      <c r="D65" s="608">
        <v>2</v>
      </c>
      <c r="E65" s="608">
        <v>4</v>
      </c>
      <c r="F65" s="608">
        <v>2</v>
      </c>
      <c r="G65" s="608">
        <v>11</v>
      </c>
      <c r="H65" s="608">
        <v>16</v>
      </c>
      <c r="I65" s="608">
        <v>3</v>
      </c>
      <c r="J65" s="608">
        <v>38</v>
      </c>
      <c r="L65" s="595"/>
      <c r="M65" s="595" t="s">
        <v>62</v>
      </c>
      <c r="N65" s="608">
        <v>1</v>
      </c>
      <c r="O65" s="608">
        <v>2</v>
      </c>
      <c r="P65" s="608">
        <v>1</v>
      </c>
      <c r="Q65" s="608">
        <v>7</v>
      </c>
      <c r="R65" s="608">
        <v>8</v>
      </c>
      <c r="S65" s="608">
        <v>2</v>
      </c>
      <c r="T65" s="608">
        <v>21</v>
      </c>
    </row>
    <row r="66" spans="1:8" s="586" customFormat="1" ht="12.75">
      <c r="A66" s="583"/>
      <c r="G66" s="587"/>
      <c r="H66" s="587"/>
    </row>
    <row r="67" spans="1:8" s="586" customFormat="1" ht="12.75">
      <c r="A67" s="583"/>
      <c r="G67" s="587"/>
      <c r="H67" s="587"/>
    </row>
    <row r="68" spans="1:8" s="586" customFormat="1" ht="12.75">
      <c r="A68" s="583"/>
      <c r="G68" s="587"/>
      <c r="H68" s="587"/>
    </row>
    <row r="69" spans="1:8" s="586" customFormat="1" ht="12.75">
      <c r="A69" s="583"/>
      <c r="G69" s="587"/>
      <c r="H69" s="587"/>
    </row>
    <row r="70" spans="1:8" s="586" customFormat="1" ht="12.75">
      <c r="A70" s="583"/>
      <c r="G70" s="587"/>
      <c r="H70" s="587"/>
    </row>
    <row r="71" spans="1:8" s="586" customFormat="1" ht="12.75">
      <c r="A71" s="583"/>
      <c r="G71" s="587"/>
      <c r="H71" s="587"/>
    </row>
    <row r="72" spans="1:8" s="586" customFormat="1" ht="12.75">
      <c r="A72" s="583"/>
      <c r="G72" s="587"/>
      <c r="H72" s="587"/>
    </row>
    <row r="73" spans="1:8" s="586" customFormat="1" ht="12.75">
      <c r="A73" s="583"/>
      <c r="G73" s="587"/>
      <c r="H73" s="587"/>
    </row>
    <row r="74" spans="1:8" s="586" customFormat="1" ht="12.75">
      <c r="A74" s="583"/>
      <c r="G74" s="587"/>
      <c r="H74" s="587"/>
    </row>
    <row r="75" spans="1:8" s="586" customFormat="1" ht="12.75">
      <c r="A75" s="583"/>
      <c r="G75" s="587"/>
      <c r="H75" s="587"/>
    </row>
    <row r="76" spans="1:8" s="586" customFormat="1" ht="12.75">
      <c r="A76" s="583"/>
      <c r="G76" s="587"/>
      <c r="H76" s="587"/>
    </row>
  </sheetData>
  <sheetProtection/>
  <mergeCells count="25">
    <mergeCell ref="B1:T1"/>
    <mergeCell ref="B2:T2"/>
    <mergeCell ref="B3:T3"/>
    <mergeCell ref="B4:T4"/>
    <mergeCell ref="B5:T5"/>
    <mergeCell ref="B7:J7"/>
    <mergeCell ref="L7:T7"/>
    <mergeCell ref="B9:J9"/>
    <mergeCell ref="L9:T9"/>
    <mergeCell ref="B10:J10"/>
    <mergeCell ref="L10:T10"/>
    <mergeCell ref="B25:J25"/>
    <mergeCell ref="L25:T25"/>
    <mergeCell ref="B26:J26"/>
    <mergeCell ref="L26:T26"/>
    <mergeCell ref="B41:J41"/>
    <mergeCell ref="L41:T41"/>
    <mergeCell ref="B43:J43"/>
    <mergeCell ref="L43:T43"/>
    <mergeCell ref="B44:J44"/>
    <mergeCell ref="L44:T44"/>
    <mergeCell ref="B55:J55"/>
    <mergeCell ref="L55:T55"/>
    <mergeCell ref="B56:J56"/>
    <mergeCell ref="L56:T56"/>
  </mergeCells>
  <printOptions/>
  <pageMargins left="0.75" right="0.75" top="1" bottom="1" header="0.5" footer="0.5"/>
  <pageSetup horizontalDpi="600" verticalDpi="600" orientation="landscape" scale="53" r:id="rId1"/>
  <headerFooter alignWithMargins="0">
    <oddFooter>&amp;L"&amp;F"&amp;R&amp;"Arial,Italic"&amp;A</oddFooter>
  </headerFooter>
</worksheet>
</file>

<file path=xl/worksheets/sheet19.xml><?xml version="1.0" encoding="utf-8"?>
<worksheet xmlns="http://schemas.openxmlformats.org/spreadsheetml/2006/main" xmlns:r="http://schemas.openxmlformats.org/officeDocument/2006/relationships">
  <dimension ref="A1:AE69"/>
  <sheetViews>
    <sheetView zoomScale="70" zoomScaleNormal="70" zoomScaleSheetLayoutView="70" zoomScalePageLayoutView="0" workbookViewId="0" topLeftCell="A1">
      <selection activeCell="B25" sqref="B25"/>
    </sheetView>
  </sheetViews>
  <sheetFormatPr defaultColWidth="9.140625" defaultRowHeight="12.75"/>
  <cols>
    <col min="1" max="1" width="19.7109375" style="459" bestFit="1" customWidth="1"/>
    <col min="2" max="3" width="8.00390625" style="421" bestFit="1" customWidth="1"/>
    <col min="4" max="4" width="7.7109375" style="421" customWidth="1"/>
    <col min="5" max="5" width="7.7109375" style="421" bestFit="1" customWidth="1"/>
    <col min="6" max="6" width="8.00390625" style="421" bestFit="1" customWidth="1"/>
    <col min="7" max="7" width="12.7109375" style="421" bestFit="1" customWidth="1"/>
    <col min="8" max="9" width="7.8515625" style="421" bestFit="1" customWidth="1"/>
    <col min="10" max="10" width="7.57421875" style="421" bestFit="1" customWidth="1"/>
    <col min="11" max="11" width="7.8515625" style="421" bestFit="1" customWidth="1"/>
    <col min="12" max="12" width="7.57421875" style="421" bestFit="1" customWidth="1"/>
    <col min="13" max="13" width="1.57421875" style="421" customWidth="1"/>
    <col min="14" max="14" width="10.8515625" style="421" bestFit="1" customWidth="1"/>
    <col min="15" max="15" width="2.421875" style="421" customWidth="1"/>
    <col min="16" max="18" width="8.00390625" style="421" customWidth="1"/>
    <col min="19" max="19" width="7.7109375" style="421" customWidth="1"/>
    <col min="20" max="20" width="8.00390625" style="421" customWidth="1"/>
    <col min="21" max="21" width="12.7109375" style="421" bestFit="1" customWidth="1"/>
    <col min="22" max="23" width="7.8515625" style="421" bestFit="1" customWidth="1"/>
    <col min="24" max="24" width="6.57421875" style="421" customWidth="1"/>
    <col min="25" max="25" width="7.8515625" style="421" bestFit="1" customWidth="1"/>
    <col min="26" max="26" width="7.28125" style="421" customWidth="1"/>
    <col min="27" max="27" width="1.57421875" style="421" customWidth="1"/>
    <col min="28" max="28" width="11.00390625" style="421" customWidth="1"/>
    <col min="29" max="29" width="3.00390625" style="421" customWidth="1"/>
    <col min="30" max="16384" width="9.140625" style="421" customWidth="1"/>
  </cols>
  <sheetData>
    <row r="1" spans="1:28" ht="21.75" customHeight="1">
      <c r="A1" s="112"/>
      <c r="B1" s="716" t="s">
        <v>97</v>
      </c>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row>
    <row r="2" spans="1:29" ht="18" customHeight="1">
      <c r="A2" s="453"/>
      <c r="B2" s="717" t="s">
        <v>94</v>
      </c>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458"/>
    </row>
    <row r="3" spans="1:28" ht="18" customHeight="1">
      <c r="A3" s="453"/>
      <c r="B3" s="718" t="s">
        <v>1</v>
      </c>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row>
    <row r="4" spans="1:28" ht="18" customHeight="1">
      <c r="A4" s="453"/>
      <c r="B4" s="719" t="s">
        <v>127</v>
      </c>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row>
    <row r="5" spans="2:28" ht="18" customHeight="1">
      <c r="B5" s="720" t="s">
        <v>100</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row>
    <row r="6" spans="1:28" ht="18" customHeight="1">
      <c r="A6" s="462"/>
      <c r="B6" s="721" t="s">
        <v>268</v>
      </c>
      <c r="C6" s="721"/>
      <c r="D6" s="721"/>
      <c r="E6" s="721"/>
      <c r="F6" s="721"/>
      <c r="G6" s="721"/>
      <c r="H6" s="721"/>
      <c r="I6" s="721"/>
      <c r="J6" s="721"/>
      <c r="K6" s="721"/>
      <c r="L6" s="721"/>
      <c r="M6" s="721"/>
      <c r="N6" s="721"/>
      <c r="O6" s="721"/>
      <c r="P6" s="722" t="s">
        <v>269</v>
      </c>
      <c r="Q6" s="722"/>
      <c r="R6" s="722"/>
      <c r="S6" s="722"/>
      <c r="T6" s="722"/>
      <c r="U6" s="722"/>
      <c r="V6" s="722"/>
      <c r="W6" s="722"/>
      <c r="X6" s="722"/>
      <c r="Y6" s="722"/>
      <c r="Z6" s="722"/>
      <c r="AA6" s="722"/>
      <c r="AB6" s="722"/>
    </row>
    <row r="7" spans="1:28" ht="26.25" customHeight="1">
      <c r="A7" s="463"/>
      <c r="B7" s="714" t="s">
        <v>81</v>
      </c>
      <c r="C7" s="715"/>
      <c r="D7" s="715"/>
      <c r="E7" s="715"/>
      <c r="F7" s="715"/>
      <c r="G7" s="464" t="s">
        <v>128</v>
      </c>
      <c r="H7" s="715" t="s">
        <v>143</v>
      </c>
      <c r="I7" s="715"/>
      <c r="J7" s="715"/>
      <c r="K7" s="715"/>
      <c r="L7" s="715"/>
      <c r="M7" s="464"/>
      <c r="N7" s="465" t="s">
        <v>144</v>
      </c>
      <c r="P7" s="714" t="s">
        <v>81</v>
      </c>
      <c r="Q7" s="715"/>
      <c r="R7" s="715"/>
      <c r="S7" s="715"/>
      <c r="T7" s="715"/>
      <c r="U7" s="464" t="s">
        <v>128</v>
      </c>
      <c r="V7" s="715" t="s">
        <v>143</v>
      </c>
      <c r="W7" s="715"/>
      <c r="X7" s="715"/>
      <c r="Y7" s="715"/>
      <c r="Z7" s="715"/>
      <c r="AA7" s="464"/>
      <c r="AB7" s="465" t="s">
        <v>144</v>
      </c>
    </row>
    <row r="8" spans="2:28" ht="12.75">
      <c r="B8" s="466">
        <v>2003</v>
      </c>
      <c r="C8" s="467">
        <v>2004</v>
      </c>
      <c r="D8" s="467">
        <v>2005</v>
      </c>
      <c r="E8" s="467">
        <v>2006</v>
      </c>
      <c r="F8" s="467">
        <v>2007</v>
      </c>
      <c r="G8" s="467">
        <v>2007</v>
      </c>
      <c r="H8" s="468" t="s">
        <v>89</v>
      </c>
      <c r="I8" s="469" t="s">
        <v>90</v>
      </c>
      <c r="J8" s="469" t="s">
        <v>91</v>
      </c>
      <c r="K8" s="469" t="s">
        <v>92</v>
      </c>
      <c r="L8" s="469" t="s">
        <v>93</v>
      </c>
      <c r="M8" s="469"/>
      <c r="N8" s="470" t="s">
        <v>93</v>
      </c>
      <c r="P8" s="466">
        <v>2003</v>
      </c>
      <c r="Q8" s="467">
        <v>2004</v>
      </c>
      <c r="R8" s="467">
        <v>2005</v>
      </c>
      <c r="S8" s="467">
        <v>2006</v>
      </c>
      <c r="T8" s="467">
        <v>2007</v>
      </c>
      <c r="U8" s="467">
        <v>2007</v>
      </c>
      <c r="V8" s="468" t="s">
        <v>89</v>
      </c>
      <c r="W8" s="469" t="s">
        <v>90</v>
      </c>
      <c r="X8" s="469" t="s">
        <v>91</v>
      </c>
      <c r="Y8" s="469" t="s">
        <v>92</v>
      </c>
      <c r="Z8" s="469" t="s">
        <v>93</v>
      </c>
      <c r="AA8" s="469"/>
      <c r="AB8" s="470" t="s">
        <v>93</v>
      </c>
    </row>
    <row r="9" spans="1:28" s="439" customFormat="1" ht="12.75">
      <c r="A9" s="471" t="s">
        <v>132</v>
      </c>
      <c r="B9" s="472">
        <v>0.8288761881596541</v>
      </c>
      <c r="C9" s="473">
        <v>0.7981969880005492</v>
      </c>
      <c r="D9" s="474">
        <v>0.764834297943759</v>
      </c>
      <c r="E9" s="474">
        <v>0.7452484247906551</v>
      </c>
      <c r="F9" s="474">
        <v>0.7276199268543163</v>
      </c>
      <c r="G9" s="438">
        <v>38691</v>
      </c>
      <c r="H9" s="474">
        <f>C9/B9</f>
        <v>0.9629869929944281</v>
      </c>
      <c r="I9" s="474">
        <f>D9/C9</f>
        <v>0.9582024355411785</v>
      </c>
      <c r="J9" s="474">
        <f>E9/D9</f>
        <v>0.97439200463975</v>
      </c>
      <c r="K9" s="474">
        <f>F9/E9</f>
        <v>0.9763454744083615</v>
      </c>
      <c r="L9" s="474">
        <f>F9/B9</f>
        <v>0.8778390997934732</v>
      </c>
      <c r="M9" s="474"/>
      <c r="N9" s="475">
        <f>((F9/B9)^0.25)-1</f>
        <v>-0.03204820349534154</v>
      </c>
      <c r="P9" s="472">
        <v>0.8346414229756098</v>
      </c>
      <c r="Q9" s="473">
        <v>0.8008724140172699</v>
      </c>
      <c r="R9" s="473">
        <v>0.7632555059570829</v>
      </c>
      <c r="S9" s="473">
        <v>0.732173939627293</v>
      </c>
      <c r="T9" s="473">
        <v>0.7153368209355685</v>
      </c>
      <c r="U9" s="111">
        <v>29729</v>
      </c>
      <c r="V9" s="474">
        <f>Q9/P9</f>
        <v>0.9595406985218289</v>
      </c>
      <c r="W9" s="474">
        <f>R9/Q9</f>
        <v>0.9530300864384925</v>
      </c>
      <c r="X9" s="474">
        <f>S9/R9</f>
        <v>0.9592776388939177</v>
      </c>
      <c r="Y9" s="474">
        <f>T9/S9</f>
        <v>0.9770039361134659</v>
      </c>
      <c r="Z9" s="474">
        <f>T9/P9</f>
        <v>0.8570588533520128</v>
      </c>
      <c r="AA9" s="474"/>
      <c r="AB9" s="475">
        <f>((T9/P9)^0.25)-1</f>
        <v>-0.037828117523292626</v>
      </c>
    </row>
    <row r="10" spans="1:28" s="439" customFormat="1" ht="4.5" customHeight="1">
      <c r="A10" s="471"/>
      <c r="B10" s="472"/>
      <c r="C10" s="473"/>
      <c r="D10" s="474"/>
      <c r="E10" s="474"/>
      <c r="F10" s="474"/>
      <c r="G10" s="438"/>
      <c r="H10" s="474"/>
      <c r="I10" s="474"/>
      <c r="J10" s="474"/>
      <c r="K10" s="474"/>
      <c r="L10" s="474"/>
      <c r="M10" s="474"/>
      <c r="N10" s="475"/>
      <c r="P10" s="472"/>
      <c r="Q10" s="473"/>
      <c r="R10" s="473"/>
      <c r="S10" s="473"/>
      <c r="T10" s="473"/>
      <c r="U10" s="111"/>
      <c r="V10" s="474"/>
      <c r="W10" s="474"/>
      <c r="X10" s="474"/>
      <c r="Y10" s="474"/>
      <c r="Z10" s="474"/>
      <c r="AA10" s="474"/>
      <c r="AB10" s="475"/>
    </row>
    <row r="11" spans="1:28" s="439" customFormat="1" ht="12.75">
      <c r="A11" s="471" t="s">
        <v>67</v>
      </c>
      <c r="B11" s="472">
        <v>0.9756409273251787</v>
      </c>
      <c r="C11" s="473">
        <v>0.9590766384559719</v>
      </c>
      <c r="D11" s="474">
        <v>0.9246941226968379</v>
      </c>
      <c r="E11" s="474">
        <v>0.9329846483079551</v>
      </c>
      <c r="F11" s="474">
        <v>0.9366281162538797</v>
      </c>
      <c r="G11" s="438">
        <v>14502</v>
      </c>
      <c r="H11" s="474">
        <f>C11/B11</f>
        <v>0.9830221463601168</v>
      </c>
      <c r="I11" s="474">
        <f>D11/C11</f>
        <v>0.9641503980177364</v>
      </c>
      <c r="J11" s="474">
        <f>E11/D11</f>
        <v>1.0089656951500223</v>
      </c>
      <c r="K11" s="474">
        <f>F11/E11</f>
        <v>1.0039051745948149</v>
      </c>
      <c r="L11" s="474">
        <f>F11/B11</f>
        <v>0.9600131462522213</v>
      </c>
      <c r="M11" s="474"/>
      <c r="N11" s="475">
        <f>((F11/B11)^0.25)-1</f>
        <v>-0.010150210507145485</v>
      </c>
      <c r="P11" s="472">
        <v>1.0097670727907735</v>
      </c>
      <c r="Q11" s="473">
        <v>0.9946434967396129</v>
      </c>
      <c r="R11" s="473">
        <v>0.9501013970772362</v>
      </c>
      <c r="S11" s="473">
        <v>0.9386062789420739</v>
      </c>
      <c r="T11" s="473">
        <v>0.9314234949195439</v>
      </c>
      <c r="U11" s="111">
        <v>11398</v>
      </c>
      <c r="V11" s="474">
        <f>Q11/P11</f>
        <v>0.9850227082475939</v>
      </c>
      <c r="W11" s="474">
        <f>R11/Q11</f>
        <v>0.9552180255454509</v>
      </c>
      <c r="X11" s="474">
        <f>S11/R11</f>
        <v>0.9879011670012019</v>
      </c>
      <c r="Y11" s="474">
        <f>T11/S11</f>
        <v>0.9923473940206048</v>
      </c>
      <c r="Z11" s="474">
        <f>T11/P11</f>
        <v>0.9224142082047643</v>
      </c>
      <c r="AA11" s="474"/>
      <c r="AB11" s="475">
        <f>((T11/P11)^0.25)-1</f>
        <v>-0.01998776887640885</v>
      </c>
    </row>
    <row r="12" spans="1:28" s="439" customFormat="1" ht="4.5" customHeight="1">
      <c r="A12" s="471"/>
      <c r="B12" s="472"/>
      <c r="C12" s="473"/>
      <c r="D12" s="474"/>
      <c r="E12" s="474"/>
      <c r="F12" s="474"/>
      <c r="G12" s="438"/>
      <c r="H12" s="474"/>
      <c r="I12" s="474"/>
      <c r="J12" s="474"/>
      <c r="K12" s="474"/>
      <c r="L12" s="474"/>
      <c r="M12" s="474"/>
      <c r="N12" s="475"/>
      <c r="P12" s="472"/>
      <c r="Q12" s="473"/>
      <c r="R12" s="473"/>
      <c r="S12" s="473"/>
      <c r="T12" s="473"/>
      <c r="U12" s="111"/>
      <c r="V12" s="474"/>
      <c r="W12" s="474"/>
      <c r="X12" s="474"/>
      <c r="Y12" s="474"/>
      <c r="Z12" s="474"/>
      <c r="AA12" s="474"/>
      <c r="AB12" s="475"/>
    </row>
    <row r="13" spans="1:28" s="439" customFormat="1" ht="12.75">
      <c r="A13" s="471" t="s">
        <v>82</v>
      </c>
      <c r="B13" s="472">
        <v>1.070469027438264</v>
      </c>
      <c r="C13" s="473">
        <v>1.0355511107810722</v>
      </c>
      <c r="D13" s="474">
        <v>1.0089861323423213</v>
      </c>
      <c r="E13" s="474">
        <v>0.9867555486240669</v>
      </c>
      <c r="F13" s="474">
        <v>1.0025714238906474</v>
      </c>
      <c r="G13" s="438">
        <v>4960</v>
      </c>
      <c r="H13" s="474">
        <f>C13/B13</f>
        <v>0.9673807314717421</v>
      </c>
      <c r="I13" s="474">
        <f>D13/C13</f>
        <v>0.9743470137184111</v>
      </c>
      <c r="J13" s="474">
        <f>E13/D13</f>
        <v>0.9779674041043092</v>
      </c>
      <c r="K13" s="474">
        <f>F13/E13</f>
        <v>1.0160281594449954</v>
      </c>
      <c r="L13" s="474">
        <f>F13/B13</f>
        <v>0.936572098951707</v>
      </c>
      <c r="M13" s="474"/>
      <c r="N13" s="475">
        <f>((F13/B13)^0.25)-1</f>
        <v>-0.016248734746819093</v>
      </c>
      <c r="P13" s="472">
        <v>1.0751415502115178</v>
      </c>
      <c r="Q13" s="473">
        <v>1.0327757495169578</v>
      </c>
      <c r="R13" s="473">
        <v>1.0146662532384518</v>
      </c>
      <c r="S13" s="473">
        <v>0.9825554443500342</v>
      </c>
      <c r="T13" s="473">
        <v>0.9951248568651574</v>
      </c>
      <c r="U13" s="111">
        <v>4212</v>
      </c>
      <c r="V13" s="474">
        <f>Q13/P13</f>
        <v>0.9605951414618613</v>
      </c>
      <c r="W13" s="474">
        <f>R13/Q13</f>
        <v>0.9824652193015028</v>
      </c>
      <c r="X13" s="474">
        <f>S13/R13</f>
        <v>0.9683533291996935</v>
      </c>
      <c r="Y13" s="474">
        <f>T13/S13</f>
        <v>1.0127925732714635</v>
      </c>
      <c r="Z13" s="474">
        <f>T13/P13</f>
        <v>0.9255756664500425</v>
      </c>
      <c r="AA13" s="474"/>
      <c r="AB13" s="475">
        <f>((T13/P13)^0.25)-1</f>
        <v>-0.01914912893348797</v>
      </c>
    </row>
    <row r="14" spans="1:28" s="439" customFormat="1" ht="4.5" customHeight="1">
      <c r="A14" s="471"/>
      <c r="B14" s="472"/>
      <c r="C14" s="473"/>
      <c r="D14" s="474"/>
      <c r="E14" s="474"/>
      <c r="F14" s="474"/>
      <c r="G14" s="438"/>
      <c r="H14" s="474"/>
      <c r="I14" s="474"/>
      <c r="J14" s="474"/>
      <c r="K14" s="474"/>
      <c r="L14" s="474"/>
      <c r="M14" s="474"/>
      <c r="N14" s="475"/>
      <c r="P14" s="472"/>
      <c r="Q14" s="473"/>
      <c r="R14" s="473"/>
      <c r="S14" s="473"/>
      <c r="T14" s="473"/>
      <c r="U14" s="111"/>
      <c r="V14" s="474"/>
      <c r="W14" s="474"/>
      <c r="X14" s="474"/>
      <c r="Y14" s="474"/>
      <c r="Z14" s="474"/>
      <c r="AA14" s="474"/>
      <c r="AB14" s="475"/>
    </row>
    <row r="15" spans="1:28" s="439" customFormat="1" ht="12.75">
      <c r="A15" s="471" t="s">
        <v>130</v>
      </c>
      <c r="B15" s="472">
        <v>0.8060906390391009</v>
      </c>
      <c r="C15" s="473">
        <v>0.7801555007195153</v>
      </c>
      <c r="D15" s="474">
        <v>0.7485496278087016</v>
      </c>
      <c r="E15" s="474">
        <v>0.7516224663237323</v>
      </c>
      <c r="F15" s="474">
        <v>0.7348366403169952</v>
      </c>
      <c r="G15" s="438">
        <v>25542</v>
      </c>
      <c r="H15" s="474">
        <f>C15/B15</f>
        <v>0.9678260271692256</v>
      </c>
      <c r="I15" s="474">
        <f>D15/C15</f>
        <v>0.9594877266369788</v>
      </c>
      <c r="J15" s="474">
        <f>E15/D15</f>
        <v>1.0041050564997622</v>
      </c>
      <c r="K15" s="474">
        <f>F15/E15</f>
        <v>0.9776672109219428</v>
      </c>
      <c r="L15" s="474">
        <f>F15/B15</f>
        <v>0.9116054755243853</v>
      </c>
      <c r="M15" s="474"/>
      <c r="N15" s="475">
        <f>((F15/B15)^0.25)-1</f>
        <v>-0.022871385940943068</v>
      </c>
      <c r="P15" s="472">
        <v>0.8078891088635742</v>
      </c>
      <c r="Q15" s="473">
        <v>0.7863815646733971</v>
      </c>
      <c r="R15" s="473">
        <v>0.7605480014862737</v>
      </c>
      <c r="S15" s="473">
        <v>0.7412511388824339</v>
      </c>
      <c r="T15" s="473">
        <v>0.7311283731536844</v>
      </c>
      <c r="U15" s="111">
        <v>20861</v>
      </c>
      <c r="V15" s="474">
        <f>Q15/P15</f>
        <v>0.9733780986100544</v>
      </c>
      <c r="W15" s="474">
        <f>R15/Q15</f>
        <v>0.9671488189097455</v>
      </c>
      <c r="X15" s="474">
        <f>S15/R15</f>
        <v>0.9746276861340382</v>
      </c>
      <c r="Y15" s="474">
        <f>T15/S15</f>
        <v>0.9863436759854274</v>
      </c>
      <c r="Z15" s="474">
        <f>T15/P15</f>
        <v>0.9049860496103653</v>
      </c>
      <c r="AA15" s="474"/>
      <c r="AB15" s="475">
        <f>((T15/P15)^0.25)-1</f>
        <v>-0.024650038533984397</v>
      </c>
    </row>
    <row r="16" spans="1:28" s="439" customFormat="1" ht="4.5" customHeight="1">
      <c r="A16" s="471"/>
      <c r="B16" s="472"/>
      <c r="C16" s="473"/>
      <c r="D16" s="474"/>
      <c r="E16" s="474"/>
      <c r="F16" s="474"/>
      <c r="G16" s="438"/>
      <c r="H16" s="474"/>
      <c r="I16" s="474"/>
      <c r="J16" s="474"/>
      <c r="K16" s="474"/>
      <c r="L16" s="474"/>
      <c r="M16" s="474"/>
      <c r="N16" s="475"/>
      <c r="P16" s="472"/>
      <c r="Q16" s="473"/>
      <c r="R16" s="473"/>
      <c r="S16" s="473"/>
      <c r="T16" s="473"/>
      <c r="U16" s="111"/>
      <c r="V16" s="474"/>
      <c r="W16" s="474"/>
      <c r="X16" s="474"/>
      <c r="Y16" s="474"/>
      <c r="Z16" s="474"/>
      <c r="AA16" s="474"/>
      <c r="AB16" s="475"/>
    </row>
    <row r="17" spans="1:28" s="439" customFormat="1" ht="12.75">
      <c r="A17" s="471" t="s">
        <v>68</v>
      </c>
      <c r="B17" s="472">
        <v>0.9749446718205622</v>
      </c>
      <c r="C17" s="473">
        <v>0.9847537892126238</v>
      </c>
      <c r="D17" s="474">
        <v>0.9448913204291082</v>
      </c>
      <c r="E17" s="474">
        <v>0.9402301151538169</v>
      </c>
      <c r="F17" s="474">
        <v>0.9549853777848865</v>
      </c>
      <c r="G17" s="438">
        <v>11262</v>
      </c>
      <c r="H17" s="474">
        <f>C17/B17</f>
        <v>1.0100612041642778</v>
      </c>
      <c r="I17" s="474">
        <f>D17/C17</f>
        <v>0.9595203702487012</v>
      </c>
      <c r="J17" s="474">
        <f>E17/D17</f>
        <v>0.9950669403194704</v>
      </c>
      <c r="K17" s="474">
        <f>F17/E17</f>
        <v>1.0156932461460837</v>
      </c>
      <c r="L17" s="474">
        <f>F17/B17</f>
        <v>0.9795277674594551</v>
      </c>
      <c r="M17" s="474"/>
      <c r="N17" s="475">
        <f>((F17/B17)^0.25)-1</f>
        <v>-0.005157825848793096</v>
      </c>
      <c r="P17" s="472">
        <v>0.9972167561138441</v>
      </c>
      <c r="Q17" s="473">
        <v>1.000880440759494</v>
      </c>
      <c r="R17" s="473">
        <v>0.9797250938704472</v>
      </c>
      <c r="S17" s="473">
        <v>0.9598570678549931</v>
      </c>
      <c r="T17" s="473">
        <v>0.9567626197138533</v>
      </c>
      <c r="U17" s="111">
        <v>9474</v>
      </c>
      <c r="V17" s="474">
        <f>Q17/P17</f>
        <v>1.0036739100332883</v>
      </c>
      <c r="W17" s="474">
        <f>R17/Q17</f>
        <v>0.9788632627559455</v>
      </c>
      <c r="X17" s="474">
        <f>S17/R17</f>
        <v>0.9797208154208192</v>
      </c>
      <c r="Y17" s="474">
        <f>T17/S17</f>
        <v>0.9967761365261861</v>
      </c>
      <c r="Z17" s="474">
        <f>T17/P17</f>
        <v>0.9594329556217641</v>
      </c>
      <c r="AA17" s="474"/>
      <c r="AB17" s="475">
        <f>((T17/P17)^0.25)-1</f>
        <v>-0.010299800066870257</v>
      </c>
    </row>
    <row r="18" spans="1:28" s="439" customFormat="1" ht="4.5" customHeight="1">
      <c r="A18" s="471"/>
      <c r="B18" s="472"/>
      <c r="C18" s="473"/>
      <c r="D18" s="474"/>
      <c r="E18" s="474"/>
      <c r="F18" s="474"/>
      <c r="G18" s="438"/>
      <c r="H18" s="474"/>
      <c r="I18" s="474"/>
      <c r="J18" s="474"/>
      <c r="K18" s="474"/>
      <c r="L18" s="474"/>
      <c r="M18" s="474"/>
      <c r="N18" s="475"/>
      <c r="P18" s="472"/>
      <c r="Q18" s="473"/>
      <c r="R18" s="473"/>
      <c r="S18" s="473"/>
      <c r="T18" s="473"/>
      <c r="U18" s="111"/>
      <c r="V18" s="474"/>
      <c r="W18" s="474"/>
      <c r="X18" s="474"/>
      <c r="Y18" s="474"/>
      <c r="Z18" s="474"/>
      <c r="AA18" s="474"/>
      <c r="AB18" s="475"/>
    </row>
    <row r="19" spans="1:28" s="439" customFormat="1" ht="12.75">
      <c r="A19" s="471" t="s">
        <v>83</v>
      </c>
      <c r="B19" s="472">
        <v>1.0276922228184844</v>
      </c>
      <c r="C19" s="473">
        <v>1.054959392295589</v>
      </c>
      <c r="D19" s="474">
        <v>1.0183029040737477</v>
      </c>
      <c r="E19" s="474">
        <v>0.9808703673116419</v>
      </c>
      <c r="F19" s="474">
        <v>0.981970568312808</v>
      </c>
      <c r="G19" s="438">
        <v>4931</v>
      </c>
      <c r="H19" s="474">
        <f>C19/B19</f>
        <v>1.0265324275806267</v>
      </c>
      <c r="I19" s="474">
        <f>D19/C19</f>
        <v>0.965253176103701</v>
      </c>
      <c r="J19" s="474">
        <f>E19/D19</f>
        <v>0.9632402729950431</v>
      </c>
      <c r="K19" s="474">
        <f>F19/E19</f>
        <v>1.0011216579048887</v>
      </c>
      <c r="L19" s="474">
        <f>F19/B19</f>
        <v>0.9555103624504592</v>
      </c>
      <c r="M19" s="474"/>
      <c r="N19" s="475">
        <f>((F19/B19)^0.25)-1</f>
        <v>-0.011312939523855814</v>
      </c>
      <c r="P19" s="472">
        <v>1.0269460156493475</v>
      </c>
      <c r="Q19" s="473">
        <v>1.0530820211336172</v>
      </c>
      <c r="R19" s="473">
        <v>1.007610518133177</v>
      </c>
      <c r="S19" s="473">
        <v>0.9829818396658488</v>
      </c>
      <c r="T19" s="473">
        <v>0.9756144761230066</v>
      </c>
      <c r="U19" s="111">
        <v>4507</v>
      </c>
      <c r="V19" s="474">
        <f>Q19/P19</f>
        <v>1.0254502233671394</v>
      </c>
      <c r="W19" s="474">
        <f>R19/Q19</f>
        <v>0.9568205495033604</v>
      </c>
      <c r="X19" s="474">
        <f>S19/R19</f>
        <v>0.9755573428183757</v>
      </c>
      <c r="Y19" s="474">
        <f>T19/S19</f>
        <v>0.9925050868230213</v>
      </c>
      <c r="Z19" s="474">
        <f>T19/P19</f>
        <v>0.950015347696847</v>
      </c>
      <c r="AA19" s="474"/>
      <c r="AB19" s="475">
        <f>((T19/P19)^0.25)-1</f>
        <v>-0.01273746771618156</v>
      </c>
    </row>
    <row r="20" spans="1:28" s="439" customFormat="1" ht="4.5" customHeight="1">
      <c r="A20" s="471"/>
      <c r="B20" s="472"/>
      <c r="C20" s="473"/>
      <c r="D20" s="474"/>
      <c r="E20" s="474"/>
      <c r="F20" s="474"/>
      <c r="G20" s="438"/>
      <c r="H20" s="474"/>
      <c r="I20" s="474"/>
      <c r="J20" s="474"/>
      <c r="K20" s="474"/>
      <c r="L20" s="474"/>
      <c r="M20" s="474"/>
      <c r="N20" s="475"/>
      <c r="P20" s="472"/>
      <c r="Q20" s="473"/>
      <c r="R20" s="473"/>
      <c r="S20" s="473"/>
      <c r="T20" s="473"/>
      <c r="U20" s="111"/>
      <c r="V20" s="474"/>
      <c r="W20" s="474"/>
      <c r="X20" s="474"/>
      <c r="Y20" s="474"/>
      <c r="Z20" s="474"/>
      <c r="AA20" s="474"/>
      <c r="AB20" s="475"/>
    </row>
    <row r="21" spans="1:28" ht="13.5" thickBot="1">
      <c r="A21" s="476" t="s">
        <v>84</v>
      </c>
      <c r="B21" s="477">
        <v>0.8961590134184473</v>
      </c>
      <c r="C21" s="478">
        <v>0.8682217558171711</v>
      </c>
      <c r="D21" s="478">
        <v>0.826978850118014</v>
      </c>
      <c r="E21" s="481">
        <v>0.8141254297814532</v>
      </c>
      <c r="F21" s="481">
        <v>0.7979654670211024</v>
      </c>
      <c r="G21" s="495">
        <v>99888</v>
      </c>
      <c r="H21" s="478">
        <f>C21/B21</f>
        <v>0.9688255575372634</v>
      </c>
      <c r="I21" s="478">
        <f>D21/C21</f>
        <v>0.9524972676360324</v>
      </c>
      <c r="J21" s="478">
        <f>E21/D21</f>
        <v>0.9844573771932299</v>
      </c>
      <c r="K21" s="478">
        <f>F21/E21</f>
        <v>0.9801505245147681</v>
      </c>
      <c r="L21" s="478">
        <f>F21/B21</f>
        <v>0.890428434098118</v>
      </c>
      <c r="M21" s="481"/>
      <c r="N21" s="483">
        <f>((F21/B21)^0.25)-1</f>
        <v>-0.028596296330392734</v>
      </c>
      <c r="P21" s="479">
        <v>0.9120413211703405</v>
      </c>
      <c r="Q21" s="480">
        <v>0.8842246161525793</v>
      </c>
      <c r="R21" s="481">
        <v>0.8430800189043169</v>
      </c>
      <c r="S21" s="481">
        <v>0.8107579346020799</v>
      </c>
      <c r="T21" s="481">
        <v>0.7932142108592225</v>
      </c>
      <c r="U21" s="482">
        <v>80181</v>
      </c>
      <c r="V21" s="478">
        <f>Q21/P21</f>
        <v>0.9695006088297989</v>
      </c>
      <c r="W21" s="478">
        <f>R21/Q21</f>
        <v>0.9534681612605518</v>
      </c>
      <c r="X21" s="478">
        <f>S21/R21</f>
        <v>0.9616619021000599</v>
      </c>
      <c r="Y21" s="478">
        <f>T21/S21</f>
        <v>0.9783613295730891</v>
      </c>
      <c r="Z21" s="478">
        <f>T21/P21</f>
        <v>0.8697130189686605</v>
      </c>
      <c r="AA21" s="481"/>
      <c r="AB21" s="483">
        <f>((T21/P21)^0.25)-1</f>
        <v>-0.03429608334648726</v>
      </c>
    </row>
    <row r="22" spans="1:31" ht="13.5" thickTop="1">
      <c r="A22" s="471"/>
      <c r="B22" s="484"/>
      <c r="C22" s="484"/>
      <c r="D22" s="485"/>
      <c r="E22" s="485"/>
      <c r="F22" s="485"/>
      <c r="G22" s="485"/>
      <c r="H22" s="485"/>
      <c r="I22" s="485"/>
      <c r="J22" s="485"/>
      <c r="K22" s="485"/>
      <c r="L22" s="485"/>
      <c r="M22" s="485"/>
      <c r="N22" s="485"/>
      <c r="P22" s="485"/>
      <c r="Q22" s="485"/>
      <c r="R22" s="485"/>
      <c r="AE22" s="439"/>
    </row>
    <row r="23" spans="1:31" ht="12.75">
      <c r="A23" s="471"/>
      <c r="B23" s="712" t="s">
        <v>259</v>
      </c>
      <c r="C23" s="712"/>
      <c r="D23" s="712"/>
      <c r="E23" s="712"/>
      <c r="F23" s="712"/>
      <c r="G23" s="712"/>
      <c r="H23" s="712"/>
      <c r="I23" s="712"/>
      <c r="J23" s="712"/>
      <c r="K23" s="712"/>
      <c r="L23" s="712"/>
      <c r="M23" s="712"/>
      <c r="N23" s="712"/>
      <c r="P23" s="713" t="s">
        <v>260</v>
      </c>
      <c r="Q23" s="713"/>
      <c r="R23" s="713"/>
      <c r="S23" s="713"/>
      <c r="T23" s="713"/>
      <c r="U23" s="713"/>
      <c r="V23" s="713"/>
      <c r="W23" s="713"/>
      <c r="X23" s="713"/>
      <c r="Y23" s="713"/>
      <c r="Z23" s="713"/>
      <c r="AA23" s="713"/>
      <c r="AB23" s="713"/>
      <c r="AE23" s="439"/>
    </row>
    <row r="24" spans="1:28" s="457" customFormat="1" ht="27">
      <c r="A24" s="486"/>
      <c r="B24" s="714" t="s">
        <v>81</v>
      </c>
      <c r="C24" s="715"/>
      <c r="D24" s="715"/>
      <c r="E24" s="715"/>
      <c r="F24" s="715"/>
      <c r="G24" s="464" t="s">
        <v>129</v>
      </c>
      <c r="H24" s="715" t="s">
        <v>143</v>
      </c>
      <c r="I24" s="715"/>
      <c r="J24" s="715"/>
      <c r="K24" s="715"/>
      <c r="L24" s="715"/>
      <c r="M24" s="464"/>
      <c r="N24" s="465" t="s">
        <v>144</v>
      </c>
      <c r="P24" s="714" t="s">
        <v>81</v>
      </c>
      <c r="Q24" s="715"/>
      <c r="R24" s="715"/>
      <c r="S24" s="715"/>
      <c r="T24" s="715"/>
      <c r="U24" s="464" t="s">
        <v>129</v>
      </c>
      <c r="V24" s="715" t="s">
        <v>143</v>
      </c>
      <c r="W24" s="715"/>
      <c r="X24" s="715"/>
      <c r="Y24" s="715"/>
      <c r="Z24" s="715"/>
      <c r="AA24" s="464"/>
      <c r="AB24" s="465" t="s">
        <v>144</v>
      </c>
    </row>
    <row r="25" spans="1:28" ht="12.75">
      <c r="A25" s="461"/>
      <c r="B25" s="466">
        <v>2003</v>
      </c>
      <c r="C25" s="467">
        <v>2004</v>
      </c>
      <c r="D25" s="467">
        <v>2005</v>
      </c>
      <c r="E25" s="467">
        <v>2006</v>
      </c>
      <c r="F25" s="467">
        <v>2007</v>
      </c>
      <c r="G25" s="467">
        <v>2007</v>
      </c>
      <c r="H25" s="468" t="s">
        <v>89</v>
      </c>
      <c r="I25" s="469" t="s">
        <v>90</v>
      </c>
      <c r="J25" s="469" t="s">
        <v>91</v>
      </c>
      <c r="K25" s="469" t="s">
        <v>92</v>
      </c>
      <c r="L25" s="469" t="s">
        <v>93</v>
      </c>
      <c r="M25" s="469"/>
      <c r="N25" s="470" t="s">
        <v>93</v>
      </c>
      <c r="O25" s="426"/>
      <c r="P25" s="466">
        <v>2003</v>
      </c>
      <c r="Q25" s="467">
        <v>2004</v>
      </c>
      <c r="R25" s="467">
        <v>2005</v>
      </c>
      <c r="S25" s="467">
        <v>2006</v>
      </c>
      <c r="T25" s="467">
        <v>2007</v>
      </c>
      <c r="U25" s="467">
        <v>2007</v>
      </c>
      <c r="V25" s="468" t="s">
        <v>89</v>
      </c>
      <c r="W25" s="469" t="s">
        <v>90</v>
      </c>
      <c r="X25" s="469" t="s">
        <v>91</v>
      </c>
      <c r="Y25" s="469" t="s">
        <v>92</v>
      </c>
      <c r="Z25" s="469" t="s">
        <v>93</v>
      </c>
      <c r="AA25" s="469"/>
      <c r="AB25" s="470" t="s">
        <v>93</v>
      </c>
    </row>
    <row r="26" spans="1:28" ht="12.75">
      <c r="A26" s="471" t="s">
        <v>132</v>
      </c>
      <c r="B26" s="472">
        <v>0.70101573718507</v>
      </c>
      <c r="C26" s="474">
        <v>0.6633766717326965</v>
      </c>
      <c r="D26" s="474">
        <v>0.639825032966911</v>
      </c>
      <c r="E26" s="474">
        <v>0.6266905839271583</v>
      </c>
      <c r="F26" s="474">
        <v>0.6145783810482192</v>
      </c>
      <c r="G26" s="240">
        <v>4530.345478</v>
      </c>
      <c r="H26" s="474">
        <f>C26/B26</f>
        <v>0.9463078167067785</v>
      </c>
      <c r="I26" s="474">
        <f>D26/C26</f>
        <v>0.9644973364766201</v>
      </c>
      <c r="J26" s="474">
        <f>E26/D26</f>
        <v>0.9794718112562002</v>
      </c>
      <c r="K26" s="474">
        <f>F26/E26</f>
        <v>0.9806727543231335</v>
      </c>
      <c r="L26" s="474">
        <f>F26/B26</f>
        <v>0.8766969818909626</v>
      </c>
      <c r="M26" s="474"/>
      <c r="N26" s="475">
        <f>((F26/B26)^0.25)-1</f>
        <v>-0.032363197114889886</v>
      </c>
      <c r="P26" s="472">
        <v>0.7120268293518915</v>
      </c>
      <c r="Q26" s="473">
        <v>0.6789978034793529</v>
      </c>
      <c r="R26" s="473">
        <v>0.6397112854701706</v>
      </c>
      <c r="S26" s="473">
        <v>0.6034603196963322</v>
      </c>
      <c r="T26" s="473">
        <v>0.6009033897269813</v>
      </c>
      <c r="U26" s="240">
        <v>3239.523646</v>
      </c>
      <c r="V26" s="474">
        <f>Q26/P26</f>
        <v>0.9536126666707171</v>
      </c>
      <c r="W26" s="474">
        <f>R26/Q26</f>
        <v>0.9421404343167704</v>
      </c>
      <c r="X26" s="474">
        <f>S26/R26</f>
        <v>0.9433323022475757</v>
      </c>
      <c r="Y26" s="474">
        <f>T26/S26</f>
        <v>0.9957628863308899</v>
      </c>
      <c r="Z26" s="474">
        <f>T26/P26</f>
        <v>0.8439336341777203</v>
      </c>
      <c r="AA26" s="474"/>
      <c r="AB26" s="475">
        <f>((T26/P26)^0.25)-1</f>
        <v>-0.04153320042316133</v>
      </c>
    </row>
    <row r="27" spans="1:28" ht="4.5" customHeight="1">
      <c r="A27" s="471"/>
      <c r="B27" s="472"/>
      <c r="C27" s="474"/>
      <c r="D27" s="474"/>
      <c r="E27" s="474"/>
      <c r="F27" s="474"/>
      <c r="G27" s="240"/>
      <c r="H27" s="474"/>
      <c r="I27" s="474"/>
      <c r="J27" s="474"/>
      <c r="K27" s="474"/>
      <c r="L27" s="474"/>
      <c r="M27" s="474"/>
      <c r="N27" s="475"/>
      <c r="P27" s="472"/>
      <c r="Q27" s="473"/>
      <c r="R27" s="473"/>
      <c r="S27" s="473"/>
      <c r="T27" s="473"/>
      <c r="U27" s="240"/>
      <c r="V27" s="474"/>
      <c r="W27" s="474"/>
      <c r="X27" s="474"/>
      <c r="Y27" s="474"/>
      <c r="Z27" s="474"/>
      <c r="AA27" s="474"/>
      <c r="AB27" s="475"/>
    </row>
    <row r="28" spans="1:28" ht="12.75">
      <c r="A28" s="471" t="s">
        <v>67</v>
      </c>
      <c r="B28" s="472">
        <v>0.828989030549841</v>
      </c>
      <c r="C28" s="474">
        <v>0.8396512799950024</v>
      </c>
      <c r="D28" s="474">
        <v>0.8303594374406629</v>
      </c>
      <c r="E28" s="474">
        <v>0.8290597023009988</v>
      </c>
      <c r="F28" s="474">
        <v>0.7998759923815755</v>
      </c>
      <c r="G28" s="240">
        <v>890.8317549999999</v>
      </c>
      <c r="H28" s="474">
        <f>C28/B28</f>
        <v>1.0128617497364103</v>
      </c>
      <c r="I28" s="474">
        <f>D28/C28</f>
        <v>0.9889336885731956</v>
      </c>
      <c r="J28" s="474">
        <f>E28/D28</f>
        <v>0.9984347318991519</v>
      </c>
      <c r="K28" s="474">
        <f>F28/E28</f>
        <v>0.9647990249213345</v>
      </c>
      <c r="L28" s="474">
        <f>F28/B28</f>
        <v>0.9648812745459904</v>
      </c>
      <c r="M28" s="474"/>
      <c r="N28" s="475">
        <f>((F28/B28)^0.25)-1</f>
        <v>-0.008897732978264794</v>
      </c>
      <c r="P28" s="472">
        <v>0.8469519946779634</v>
      </c>
      <c r="Q28" s="473">
        <v>0.8750818605018339</v>
      </c>
      <c r="R28" s="473">
        <v>0.8741805247142898</v>
      </c>
      <c r="S28" s="473">
        <v>0.8218118054837805</v>
      </c>
      <c r="T28" s="473">
        <v>0.7859442582936365</v>
      </c>
      <c r="U28" s="240">
        <v>634.031433</v>
      </c>
      <c r="V28" s="474">
        <f>Q28/P28</f>
        <v>1.0332130581197418</v>
      </c>
      <c r="W28" s="474">
        <f>R28/Q28</f>
        <v>0.9989699983187547</v>
      </c>
      <c r="X28" s="474">
        <f>S28/R28</f>
        <v>0.940093930544123</v>
      </c>
      <c r="Y28" s="474">
        <f>T28/S28</f>
        <v>0.956355522090572</v>
      </c>
      <c r="Z28" s="474">
        <f>T28/P28</f>
        <v>0.9279678933780373</v>
      </c>
      <c r="AA28" s="474"/>
      <c r="AB28" s="475">
        <f>((T28/P28)^0.25)-1</f>
        <v>-0.018515969705659163</v>
      </c>
    </row>
    <row r="29" spans="1:28" ht="4.5" customHeight="1">
      <c r="A29" s="471"/>
      <c r="B29" s="472"/>
      <c r="C29" s="474"/>
      <c r="D29" s="474"/>
      <c r="E29" s="474"/>
      <c r="F29" s="474"/>
      <c r="G29" s="240"/>
      <c r="H29" s="474"/>
      <c r="I29" s="474"/>
      <c r="J29" s="474"/>
      <c r="K29" s="474"/>
      <c r="L29" s="474"/>
      <c r="M29" s="474"/>
      <c r="N29" s="475"/>
      <c r="P29" s="472"/>
      <c r="Q29" s="473"/>
      <c r="R29" s="473"/>
      <c r="S29" s="473"/>
      <c r="T29" s="473"/>
      <c r="U29" s="240"/>
      <c r="V29" s="474"/>
      <c r="W29" s="474"/>
      <c r="X29" s="474"/>
      <c r="Y29" s="474"/>
      <c r="Z29" s="474"/>
      <c r="AA29" s="474"/>
      <c r="AB29" s="475"/>
    </row>
    <row r="30" spans="1:28" ht="12.75">
      <c r="A30" s="471" t="s">
        <v>82</v>
      </c>
      <c r="B30" s="472">
        <v>0.8189926453827495</v>
      </c>
      <c r="C30" s="474">
        <v>0.8623898183710474</v>
      </c>
      <c r="D30" s="474">
        <v>0.8111436934862353</v>
      </c>
      <c r="E30" s="474">
        <v>0.8200669471197045</v>
      </c>
      <c r="F30" s="474">
        <v>0.7716201364301788</v>
      </c>
      <c r="G30" s="240">
        <v>130.940948</v>
      </c>
      <c r="H30" s="474">
        <f>C30/B30</f>
        <v>1.0529884770430589</v>
      </c>
      <c r="I30" s="474">
        <f>D30/C30</f>
        <v>0.9405766118834635</v>
      </c>
      <c r="J30" s="474">
        <f>E30/D30</f>
        <v>1.0110008296990114</v>
      </c>
      <c r="K30" s="474">
        <f>F30/E30</f>
        <v>0.9409233467344539</v>
      </c>
      <c r="L30" s="474">
        <f>F30/B30</f>
        <v>0.942157589302366</v>
      </c>
      <c r="M30" s="474"/>
      <c r="N30" s="475">
        <f>((F30/B30)^0.25)-1</f>
        <v>-0.014785289672309077</v>
      </c>
      <c r="P30" s="472">
        <v>0.8271782526358208</v>
      </c>
      <c r="Q30" s="473">
        <v>0.8475733218303503</v>
      </c>
      <c r="R30" s="474">
        <v>0.8212947761410919</v>
      </c>
      <c r="S30" s="474">
        <v>0.7811560705586982</v>
      </c>
      <c r="T30" s="474">
        <v>0.7402668859907973</v>
      </c>
      <c r="U30" s="240">
        <v>91.625585</v>
      </c>
      <c r="V30" s="474">
        <f>Q30/P30</f>
        <v>1.0246561960853542</v>
      </c>
      <c r="W30" s="474">
        <f>R30/Q30</f>
        <v>0.9689955488069052</v>
      </c>
      <c r="X30" s="474">
        <f>S30/R30</f>
        <v>0.9511275284484481</v>
      </c>
      <c r="Y30" s="474">
        <f>T30/S30</f>
        <v>0.9476555503964065</v>
      </c>
      <c r="Z30" s="474">
        <f>T30/P30</f>
        <v>0.8949303050846916</v>
      </c>
      <c r="AA30" s="474"/>
      <c r="AB30" s="475">
        <f>((T30/P30)^0.25)-1</f>
        <v>-0.027370799946459745</v>
      </c>
    </row>
    <row r="31" spans="1:28" ht="4.5" customHeight="1">
      <c r="A31" s="471"/>
      <c r="B31" s="472"/>
      <c r="C31" s="474"/>
      <c r="D31" s="474"/>
      <c r="E31" s="474"/>
      <c r="F31" s="474"/>
      <c r="G31" s="240"/>
      <c r="H31" s="474"/>
      <c r="I31" s="474"/>
      <c r="J31" s="474"/>
      <c r="K31" s="474"/>
      <c r="L31" s="474"/>
      <c r="M31" s="474"/>
      <c r="N31" s="475"/>
      <c r="P31" s="472"/>
      <c r="Q31" s="473"/>
      <c r="R31" s="474"/>
      <c r="S31" s="474"/>
      <c r="T31" s="474"/>
      <c r="U31" s="240"/>
      <c r="V31" s="474"/>
      <c r="W31" s="474"/>
      <c r="X31" s="474"/>
      <c r="Y31" s="474"/>
      <c r="Z31" s="474"/>
      <c r="AA31" s="474"/>
      <c r="AB31" s="475"/>
    </row>
    <row r="32" spans="1:28" ht="12.75">
      <c r="A32" s="471" t="s">
        <v>130</v>
      </c>
      <c r="B32" s="472">
        <v>0.6942230699609703</v>
      </c>
      <c r="C32" s="474">
        <v>0.6848950508347139</v>
      </c>
      <c r="D32" s="474">
        <v>0.6503856342056585</v>
      </c>
      <c r="E32" s="474">
        <v>0.6632312119354725</v>
      </c>
      <c r="F32" s="474">
        <v>0.6783227968020312</v>
      </c>
      <c r="G32" s="240">
        <v>1804.929872</v>
      </c>
      <c r="H32" s="474">
        <f>C32/B32</f>
        <v>0.9865633691389991</v>
      </c>
      <c r="I32" s="474">
        <f>D32/C32</f>
        <v>0.9496135698644673</v>
      </c>
      <c r="J32" s="474">
        <f>E32/D32</f>
        <v>1.019750709508679</v>
      </c>
      <c r="K32" s="474">
        <f>F32/E32</f>
        <v>1.0227546360831206</v>
      </c>
      <c r="L32" s="474">
        <f>F32/B32</f>
        <v>0.977096305428408</v>
      </c>
      <c r="M32" s="474"/>
      <c r="N32" s="475">
        <f>((F32/B32)^0.25)-1</f>
        <v>-0.005775770532007285</v>
      </c>
      <c r="P32" s="472">
        <v>0.6886217325874794</v>
      </c>
      <c r="Q32" s="473">
        <v>0.6547789888129448</v>
      </c>
      <c r="R32" s="473">
        <v>0.6799921279371468</v>
      </c>
      <c r="S32" s="473">
        <v>0.6679238985264507</v>
      </c>
      <c r="T32" s="473">
        <v>0.6829655457069467</v>
      </c>
      <c r="U32" s="240">
        <v>1306.892234</v>
      </c>
      <c r="V32" s="474">
        <f>Q32/P32</f>
        <v>0.9508543774136037</v>
      </c>
      <c r="W32" s="474">
        <f>R32/Q32</f>
        <v>1.0385063350458315</v>
      </c>
      <c r="X32" s="474">
        <f>S32/R32</f>
        <v>0.982252398351571</v>
      </c>
      <c r="Y32" s="474">
        <f>T32/S32</f>
        <v>1.0225200014757374</v>
      </c>
      <c r="Z32" s="474">
        <f>T32/P32</f>
        <v>0.9917862207756939</v>
      </c>
      <c r="AA32" s="474"/>
      <c r="AB32" s="475">
        <f>((T32/P32)^0.25)-1</f>
        <v>-0.0020598002368271695</v>
      </c>
    </row>
    <row r="33" spans="1:28" ht="4.5" customHeight="1">
      <c r="A33" s="471"/>
      <c r="B33" s="472"/>
      <c r="C33" s="474"/>
      <c r="D33" s="474"/>
      <c r="E33" s="474"/>
      <c r="F33" s="474"/>
      <c r="G33" s="240"/>
      <c r="H33" s="474"/>
      <c r="I33" s="474"/>
      <c r="J33" s="474"/>
      <c r="K33" s="474"/>
      <c r="L33" s="474"/>
      <c r="M33" s="474"/>
      <c r="N33" s="475"/>
      <c r="P33" s="472"/>
      <c r="Q33" s="473"/>
      <c r="R33" s="473"/>
      <c r="S33" s="473"/>
      <c r="T33" s="473"/>
      <c r="U33" s="240"/>
      <c r="V33" s="474"/>
      <c r="W33" s="474"/>
      <c r="X33" s="474"/>
      <c r="Y33" s="474"/>
      <c r="Z33" s="474"/>
      <c r="AA33" s="474"/>
      <c r="AB33" s="475"/>
    </row>
    <row r="34" spans="1:28" ht="12.75">
      <c r="A34" s="471" t="s">
        <v>68</v>
      </c>
      <c r="B34" s="472">
        <v>0.8917698749656741</v>
      </c>
      <c r="C34" s="474">
        <v>0.8905669727863686</v>
      </c>
      <c r="D34" s="474">
        <v>0.8489727335292993</v>
      </c>
      <c r="E34" s="474">
        <v>0.8329400679940882</v>
      </c>
      <c r="F34" s="474">
        <v>0.8299185907212538</v>
      </c>
      <c r="G34" s="240">
        <v>358.209481</v>
      </c>
      <c r="H34" s="474">
        <f>C34/B34</f>
        <v>0.9986511069581132</v>
      </c>
      <c r="I34" s="474">
        <f>D34/C34</f>
        <v>0.9532946532623694</v>
      </c>
      <c r="J34" s="474">
        <f>E34/D34</f>
        <v>0.981115217365626</v>
      </c>
      <c r="K34" s="474">
        <f>F34/E34</f>
        <v>0.9963725153958427</v>
      </c>
      <c r="L34" s="474">
        <f>F34/B34</f>
        <v>0.9306421017565759</v>
      </c>
      <c r="M34" s="474"/>
      <c r="N34" s="475">
        <f>((F34/B34)^0.25)-1</f>
        <v>-0.017809624915924638</v>
      </c>
      <c r="P34" s="472">
        <v>0.9084987625582047</v>
      </c>
      <c r="Q34" s="473">
        <v>0.8868181832591633</v>
      </c>
      <c r="R34" s="473">
        <v>0.8669599868981394</v>
      </c>
      <c r="S34" s="473">
        <v>0.8441534485230341</v>
      </c>
      <c r="T34" s="473">
        <v>0.8143355245386573</v>
      </c>
      <c r="U34" s="240">
        <v>259.130561</v>
      </c>
      <c r="V34" s="474">
        <f>Q34/P34</f>
        <v>0.9761358185695356</v>
      </c>
      <c r="W34" s="474">
        <f>R34/Q34</f>
        <v>0.9776073644678296</v>
      </c>
      <c r="X34" s="474">
        <f>S34/R34</f>
        <v>0.9736936666976941</v>
      </c>
      <c r="Y34" s="474">
        <f>T34/S34</f>
        <v>0.9646771282679145</v>
      </c>
      <c r="Z34" s="474">
        <f>T34/P34</f>
        <v>0.8963529264977786</v>
      </c>
      <c r="AA34" s="474"/>
      <c r="AB34" s="475">
        <f>((T34/P34)^0.25)-1</f>
        <v>-0.026984496385628498</v>
      </c>
    </row>
    <row r="35" spans="1:28" ht="4.5" customHeight="1">
      <c r="A35" s="471"/>
      <c r="B35" s="472"/>
      <c r="C35" s="474"/>
      <c r="D35" s="474"/>
      <c r="E35" s="474"/>
      <c r="F35" s="474"/>
      <c r="G35" s="240"/>
      <c r="H35" s="474"/>
      <c r="I35" s="474"/>
      <c r="J35" s="474"/>
      <c r="K35" s="474"/>
      <c r="L35" s="474"/>
      <c r="M35" s="474"/>
      <c r="N35" s="475"/>
      <c r="P35" s="472"/>
      <c r="Q35" s="473"/>
      <c r="R35" s="473"/>
      <c r="S35" s="473"/>
      <c r="T35" s="473"/>
      <c r="U35" s="240"/>
      <c r="V35" s="474"/>
      <c r="W35" s="474"/>
      <c r="X35" s="474"/>
      <c r="Y35" s="474"/>
      <c r="Z35" s="474"/>
      <c r="AA35" s="474"/>
      <c r="AB35" s="475"/>
    </row>
    <row r="36" spans="1:28" ht="12.75">
      <c r="A36" s="471" t="s">
        <v>83</v>
      </c>
      <c r="B36" s="472">
        <v>0.9144209270513853</v>
      </c>
      <c r="C36" s="474">
        <v>0.8411312705446435</v>
      </c>
      <c r="D36" s="474">
        <v>0.8729066420230603</v>
      </c>
      <c r="E36" s="474">
        <v>0.756459320647307</v>
      </c>
      <c r="F36" s="474">
        <v>0.7715412750420357</v>
      </c>
      <c r="G36" s="240">
        <v>70.666642</v>
      </c>
      <c r="H36" s="474">
        <f>C36/B36</f>
        <v>0.919851291305122</v>
      </c>
      <c r="I36" s="474">
        <f>D36/C36</f>
        <v>1.0377769470606435</v>
      </c>
      <c r="J36" s="474">
        <f>E36/D36</f>
        <v>0.8665981953054299</v>
      </c>
      <c r="K36" s="474">
        <f>F36/E36</f>
        <v>1.0199375617208641</v>
      </c>
      <c r="L36" s="474">
        <f>F36/B36</f>
        <v>0.843748488488693</v>
      </c>
      <c r="M36" s="474"/>
      <c r="N36" s="475">
        <f>((F36/B36)^0.25)-1</f>
        <v>-0.041585772861869263</v>
      </c>
      <c r="P36" s="472">
        <v>0.9034736865021105</v>
      </c>
      <c r="Q36" s="473">
        <v>0.8644336040068491</v>
      </c>
      <c r="R36" s="474">
        <v>0.8133831486749354</v>
      </c>
      <c r="S36" s="474">
        <v>0.7538252073694751</v>
      </c>
      <c r="T36" s="474">
        <v>0.7277871245499469</v>
      </c>
      <c r="U36" s="240">
        <v>51.475278</v>
      </c>
      <c r="V36" s="474">
        <f>Q36/P36</f>
        <v>0.9567889103152423</v>
      </c>
      <c r="W36" s="474">
        <f>R36/Q36</f>
        <v>0.9409434627537812</v>
      </c>
      <c r="X36" s="474">
        <f>S36/R36</f>
        <v>0.926777507743448</v>
      </c>
      <c r="Y36" s="474">
        <f>T36/S36</f>
        <v>0.9654587262869732</v>
      </c>
      <c r="Z36" s="474">
        <f>T36/P36</f>
        <v>0.8055432442837911</v>
      </c>
      <c r="AA36" s="474"/>
      <c r="AB36" s="475">
        <f>((T36/P36)^0.25)-1</f>
        <v>-0.05262435676642763</v>
      </c>
    </row>
    <row r="37" spans="1:28" ht="4.5" customHeight="1">
      <c r="A37" s="471"/>
      <c r="B37" s="472"/>
      <c r="C37" s="474"/>
      <c r="D37" s="474"/>
      <c r="E37" s="474"/>
      <c r="F37" s="474"/>
      <c r="G37" s="240"/>
      <c r="H37" s="474"/>
      <c r="I37" s="474"/>
      <c r="J37" s="474"/>
      <c r="K37" s="474"/>
      <c r="L37" s="474"/>
      <c r="M37" s="474"/>
      <c r="N37" s="475"/>
      <c r="P37" s="472"/>
      <c r="Q37" s="473"/>
      <c r="R37" s="474"/>
      <c r="S37" s="474"/>
      <c r="T37" s="474"/>
      <c r="U37" s="240"/>
      <c r="V37" s="474"/>
      <c r="W37" s="474"/>
      <c r="X37" s="474"/>
      <c r="Y37" s="474"/>
      <c r="Z37" s="474"/>
      <c r="AA37" s="474"/>
      <c r="AB37" s="475"/>
    </row>
    <row r="38" spans="1:28" ht="13.5" thickBot="1">
      <c r="A38" s="476" t="s">
        <v>84</v>
      </c>
      <c r="B38" s="477">
        <v>0.7288814924163063</v>
      </c>
      <c r="C38" s="478">
        <v>0.7029184705563882</v>
      </c>
      <c r="D38" s="478">
        <v>0.6740400442650987</v>
      </c>
      <c r="E38" s="481">
        <v>0.6691798591775289</v>
      </c>
      <c r="F38" s="481">
        <v>0.6576526805749126</v>
      </c>
      <c r="G38" s="482">
        <v>7785.9241759999995</v>
      </c>
      <c r="H38" s="478">
        <f>C38/B38</f>
        <v>0.9643796390359037</v>
      </c>
      <c r="I38" s="478">
        <f>D38/C38</f>
        <v>0.9589163928664001</v>
      </c>
      <c r="J38" s="478">
        <f>E38/D38</f>
        <v>0.992789471294886</v>
      </c>
      <c r="K38" s="478">
        <f>F38/E38</f>
        <v>0.9827741698371136</v>
      </c>
      <c r="L38" s="478">
        <f>F38/B38</f>
        <v>0.9022765530713862</v>
      </c>
      <c r="M38" s="481"/>
      <c r="N38" s="483">
        <f>((F38/B38)^0.25)-1</f>
        <v>-0.025380900518983562</v>
      </c>
      <c r="P38" s="479">
        <v>0.7394733881695748</v>
      </c>
      <c r="Q38" s="480">
        <v>0.7124628668282188</v>
      </c>
      <c r="R38" s="481">
        <v>0.6888265446716239</v>
      </c>
      <c r="S38" s="481">
        <v>0.6532945457377233</v>
      </c>
      <c r="T38" s="481">
        <v>0.6473368729536343</v>
      </c>
      <c r="U38" s="482">
        <v>5582.678737</v>
      </c>
      <c r="V38" s="478">
        <f>Q38/P38</f>
        <v>0.9634733017124317</v>
      </c>
      <c r="W38" s="478">
        <f>R38/Q38</f>
        <v>0.9668244855176518</v>
      </c>
      <c r="X38" s="478">
        <f>S38/R38</f>
        <v>0.9484166235915904</v>
      </c>
      <c r="Y38" s="478">
        <f>T38/S38</f>
        <v>0.9908805716763465</v>
      </c>
      <c r="Z38" s="478">
        <f>T38/P38</f>
        <v>0.8754025274066903</v>
      </c>
      <c r="AA38" s="481"/>
      <c r="AB38" s="483">
        <f>((T38/P38)^0.25)-1</f>
        <v>-0.03272057713227028</v>
      </c>
    </row>
    <row r="39" ht="13.5" thickTop="1"/>
    <row r="40" spans="1:28" ht="12.75">
      <c r="A40" s="471"/>
      <c r="B40" s="712" t="s">
        <v>259</v>
      </c>
      <c r="C40" s="712"/>
      <c r="D40" s="712"/>
      <c r="E40" s="712"/>
      <c r="F40" s="712"/>
      <c r="G40" s="712"/>
      <c r="H40" s="712"/>
      <c r="I40" s="712"/>
      <c r="J40" s="712"/>
      <c r="K40" s="712"/>
      <c r="L40" s="712"/>
      <c r="M40" s="712"/>
      <c r="N40" s="712"/>
      <c r="P40" s="713" t="s">
        <v>260</v>
      </c>
      <c r="Q40" s="713"/>
      <c r="R40" s="713"/>
      <c r="S40" s="713"/>
      <c r="T40" s="713"/>
      <c r="U40" s="713"/>
      <c r="V40" s="713"/>
      <c r="W40" s="713"/>
      <c r="X40" s="713"/>
      <c r="Y40" s="713"/>
      <c r="Z40" s="713"/>
      <c r="AA40" s="713"/>
      <c r="AB40" s="713"/>
    </row>
    <row r="41" spans="1:28" ht="27">
      <c r="A41" s="486"/>
      <c r="B41" s="714" t="s">
        <v>81</v>
      </c>
      <c r="C41" s="715"/>
      <c r="D41" s="715"/>
      <c r="E41" s="715"/>
      <c r="F41" s="715"/>
      <c r="G41" s="464" t="s">
        <v>129</v>
      </c>
      <c r="H41" s="715" t="s">
        <v>143</v>
      </c>
      <c r="I41" s="715"/>
      <c r="J41" s="715"/>
      <c r="K41" s="715"/>
      <c r="L41" s="715"/>
      <c r="M41" s="464"/>
      <c r="N41" s="465" t="s">
        <v>144</v>
      </c>
      <c r="O41" s="457"/>
      <c r="P41" s="714" t="s">
        <v>81</v>
      </c>
      <c r="Q41" s="715"/>
      <c r="R41" s="715"/>
      <c r="S41" s="715"/>
      <c r="T41" s="715"/>
      <c r="U41" s="464" t="s">
        <v>129</v>
      </c>
      <c r="V41" s="715" t="s">
        <v>143</v>
      </c>
      <c r="W41" s="715"/>
      <c r="X41" s="715"/>
      <c r="Y41" s="715"/>
      <c r="Z41" s="715"/>
      <c r="AA41" s="464"/>
      <c r="AB41" s="465" t="s">
        <v>144</v>
      </c>
    </row>
    <row r="42" spans="1:28" ht="12.75">
      <c r="A42" s="461"/>
      <c r="B42" s="466">
        <v>2003</v>
      </c>
      <c r="C42" s="467">
        <v>2004</v>
      </c>
      <c r="D42" s="467">
        <v>2005</v>
      </c>
      <c r="E42" s="467">
        <v>2006</v>
      </c>
      <c r="F42" s="467">
        <v>2007</v>
      </c>
      <c r="G42" s="467">
        <v>2007</v>
      </c>
      <c r="H42" s="468" t="s">
        <v>89</v>
      </c>
      <c r="I42" s="469" t="s">
        <v>90</v>
      </c>
      <c r="J42" s="469" t="s">
        <v>91</v>
      </c>
      <c r="K42" s="469" t="s">
        <v>92</v>
      </c>
      <c r="L42" s="469" t="s">
        <v>93</v>
      </c>
      <c r="M42" s="469"/>
      <c r="N42" s="470" t="s">
        <v>93</v>
      </c>
      <c r="O42" s="426"/>
      <c r="P42" s="466">
        <v>2003</v>
      </c>
      <c r="Q42" s="467">
        <v>2004</v>
      </c>
      <c r="R42" s="467">
        <v>2005</v>
      </c>
      <c r="S42" s="467">
        <v>2006</v>
      </c>
      <c r="T42" s="467">
        <v>2007</v>
      </c>
      <c r="U42" s="467">
        <v>2007</v>
      </c>
      <c r="V42" s="468" t="s">
        <v>89</v>
      </c>
      <c r="W42" s="469" t="s">
        <v>90</v>
      </c>
      <c r="X42" s="469" t="s">
        <v>91</v>
      </c>
      <c r="Y42" s="469" t="s">
        <v>92</v>
      </c>
      <c r="Z42" s="469" t="s">
        <v>93</v>
      </c>
      <c r="AA42" s="469"/>
      <c r="AB42" s="470" t="s">
        <v>93</v>
      </c>
    </row>
    <row r="43" spans="1:28" ht="12.75">
      <c r="A43" s="471" t="s">
        <v>255</v>
      </c>
      <c r="B43" s="472">
        <v>0.7257404199993703</v>
      </c>
      <c r="C43" s="474">
        <v>0.6953650675948235</v>
      </c>
      <c r="D43" s="474">
        <v>0.6697406590941538</v>
      </c>
      <c r="E43" s="474">
        <v>0.6606948224957989</v>
      </c>
      <c r="F43" s="474">
        <v>0.6415016521628911</v>
      </c>
      <c r="G43" s="240">
        <v>5551.873481</v>
      </c>
      <c r="H43" s="474">
        <f>C43/B43</f>
        <v>0.9581457066914184</v>
      </c>
      <c r="I43" s="474">
        <f>D43/C43</f>
        <v>0.9631497040981636</v>
      </c>
      <c r="J43" s="474">
        <f>E43/D43</f>
        <v>0.9864935233130542</v>
      </c>
      <c r="K43" s="474">
        <f>F43/E43</f>
        <v>0.9709500215842393</v>
      </c>
      <c r="L43" s="474">
        <f>F43/B43</f>
        <v>0.8839271376995204</v>
      </c>
      <c r="M43" s="474"/>
      <c r="N43" s="475">
        <f>((F43/B43)^0.25)-1</f>
        <v>-0.03037430246944195</v>
      </c>
      <c r="P43" s="472">
        <v>0.7394664206247734</v>
      </c>
      <c r="Q43" s="473">
        <v>0.7157680285070225</v>
      </c>
      <c r="R43" s="473">
        <v>0.6793465496997776</v>
      </c>
      <c r="S43" s="473">
        <v>0.637419112917744</v>
      </c>
      <c r="T43" s="473">
        <v>0.6272456209360718</v>
      </c>
      <c r="U43" s="240">
        <v>1617.498073</v>
      </c>
      <c r="V43" s="474">
        <f>Q43/P43</f>
        <v>0.9679520375005964</v>
      </c>
      <c r="W43" s="474">
        <f>R43/Q43</f>
        <v>0.9491155271586882</v>
      </c>
      <c r="X43" s="474">
        <f>S43/R43</f>
        <v>0.9382826970997902</v>
      </c>
      <c r="Y43" s="474">
        <f>T43/S43</f>
        <v>0.9840395561170049</v>
      </c>
      <c r="Z43" s="474">
        <f>T43/P43</f>
        <v>0.8482408442645895</v>
      </c>
      <c r="AA43" s="474"/>
      <c r="AB43" s="475">
        <f>((T43/P43)^0.25)-1</f>
        <v>-0.04031259492838768</v>
      </c>
    </row>
    <row r="44" spans="1:28" ht="4.5" customHeight="1">
      <c r="A44" s="471"/>
      <c r="B44" s="472"/>
      <c r="C44" s="474"/>
      <c r="D44" s="474"/>
      <c r="E44" s="474"/>
      <c r="F44" s="474"/>
      <c r="G44" s="240"/>
      <c r="H44" s="474"/>
      <c r="I44" s="474"/>
      <c r="J44" s="474"/>
      <c r="K44" s="474"/>
      <c r="L44" s="474"/>
      <c r="M44" s="474"/>
      <c r="N44" s="475"/>
      <c r="P44" s="472"/>
      <c r="Q44" s="473"/>
      <c r="R44" s="473"/>
      <c r="S44" s="473"/>
      <c r="T44" s="473"/>
      <c r="U44" s="240"/>
      <c r="V44" s="474"/>
      <c r="W44" s="474"/>
      <c r="X44" s="474"/>
      <c r="Y44" s="474"/>
      <c r="Z44" s="474"/>
      <c r="AA44" s="474"/>
      <c r="AB44" s="475"/>
    </row>
    <row r="45" spans="1:28" ht="12.75">
      <c r="A45" s="471" t="s">
        <v>252</v>
      </c>
      <c r="B45" s="472">
        <v>0.7375140198160951</v>
      </c>
      <c r="C45" s="474">
        <v>0.7233364373644309</v>
      </c>
      <c r="D45" s="474">
        <v>0.6864056209341183</v>
      </c>
      <c r="E45" s="474">
        <v>0.6922605199150579</v>
      </c>
      <c r="F45" s="474">
        <v>0.7015539119930531</v>
      </c>
      <c r="G45" s="240">
        <v>2233.805995</v>
      </c>
      <c r="H45" s="474">
        <f>C45/B45</f>
        <v>0.9807765248243017</v>
      </c>
      <c r="I45" s="474">
        <f>D45/C45</f>
        <v>0.9489437908521866</v>
      </c>
      <c r="J45" s="474">
        <f>E45/D45</f>
        <v>1.0085297946321765</v>
      </c>
      <c r="K45" s="474">
        <f>F45/E45</f>
        <v>1.0134247032882007</v>
      </c>
      <c r="L45" s="474">
        <f>F45/B45</f>
        <v>0.9512414586613431</v>
      </c>
      <c r="M45" s="474"/>
      <c r="N45" s="475">
        <f>((F45/B45)^0.25)-1</f>
        <v>-0.012419076018451936</v>
      </c>
      <c r="P45" s="472">
        <v>0.7394924742498239</v>
      </c>
      <c r="Q45" s="473">
        <v>0.7035128021155028</v>
      </c>
      <c r="R45" s="473">
        <v>0.714904355401899</v>
      </c>
      <c r="S45" s="473">
        <v>0.6968962401288364</v>
      </c>
      <c r="T45" s="473">
        <v>0.7024980733520033</v>
      </c>
      <c r="U45" s="240">
        <v>3965.180664</v>
      </c>
      <c r="V45" s="474">
        <f>Q45/P45</f>
        <v>0.9513454519319882</v>
      </c>
      <c r="W45" s="474">
        <f>R45/Q45</f>
        <v>1.0161923894663198</v>
      </c>
      <c r="X45" s="474">
        <f>S45/R45</f>
        <v>0.9748104552210499</v>
      </c>
      <c r="Y45" s="474">
        <f>T45/S45</f>
        <v>1.0080382600746005</v>
      </c>
      <c r="Z45" s="474">
        <f>T45/P45</f>
        <v>0.9499732557314401</v>
      </c>
      <c r="AA45" s="474"/>
      <c r="AB45" s="475">
        <f>((T45/P45)^0.25)-1</f>
        <v>-0.01274840346341044</v>
      </c>
    </row>
    <row r="46" spans="1:28" ht="4.5" customHeight="1">
      <c r="A46" s="471"/>
      <c r="B46" s="472"/>
      <c r="C46" s="474"/>
      <c r="D46" s="474"/>
      <c r="E46" s="474"/>
      <c r="F46" s="474"/>
      <c r="G46" s="240"/>
      <c r="H46" s="474"/>
      <c r="I46" s="474"/>
      <c r="J46" s="474"/>
      <c r="K46" s="474"/>
      <c r="L46" s="474"/>
      <c r="M46" s="474"/>
      <c r="N46" s="475"/>
      <c r="P46" s="472"/>
      <c r="Q46" s="473"/>
      <c r="R46" s="473"/>
      <c r="S46" s="473"/>
      <c r="T46" s="473"/>
      <c r="U46" s="240"/>
      <c r="V46" s="474"/>
      <c r="W46" s="474"/>
      <c r="X46" s="474"/>
      <c r="Y46" s="474"/>
      <c r="Z46" s="474"/>
      <c r="AA46" s="474"/>
      <c r="AB46" s="475"/>
    </row>
    <row r="47" spans="1:28" ht="13.5" thickBot="1">
      <c r="A47" s="476" t="s">
        <v>84</v>
      </c>
      <c r="B47" s="477">
        <v>0.728881492416305</v>
      </c>
      <c r="C47" s="478">
        <v>0.7029184705563926</v>
      </c>
      <c r="D47" s="478">
        <v>0.6740400442651023</v>
      </c>
      <c r="E47" s="481">
        <v>0.6691798591775424</v>
      </c>
      <c r="F47" s="481">
        <v>0.6576526805749094</v>
      </c>
      <c r="G47" s="482">
        <v>7785.679475999999</v>
      </c>
      <c r="H47" s="478">
        <f>C47/B47</f>
        <v>0.9643796390359114</v>
      </c>
      <c r="I47" s="478">
        <f>D47/C47</f>
        <v>0.9589163928663994</v>
      </c>
      <c r="J47" s="478">
        <f>E47/D47</f>
        <v>0.9927894712949007</v>
      </c>
      <c r="K47" s="478">
        <f>F47/E47</f>
        <v>0.9827741698370891</v>
      </c>
      <c r="L47" s="478">
        <f>F47/B47</f>
        <v>0.9022765530713835</v>
      </c>
      <c r="M47" s="481"/>
      <c r="N47" s="483">
        <f>((F47/B47)^0.25)-1</f>
        <v>-0.02538090051898423</v>
      </c>
      <c r="P47" s="479">
        <v>0.7394733881695732</v>
      </c>
      <c r="Q47" s="480">
        <v>0.7124628668282086</v>
      </c>
      <c r="R47" s="481">
        <v>0.688826544671618</v>
      </c>
      <c r="S47" s="481">
        <v>0.6532945457377153</v>
      </c>
      <c r="T47" s="481">
        <v>0.6473368729536281</v>
      </c>
      <c r="U47" s="482">
        <v>5582.678737</v>
      </c>
      <c r="V47" s="478">
        <f>Q47/P47</f>
        <v>0.9634733017124198</v>
      </c>
      <c r="W47" s="478">
        <f>R47/Q47</f>
        <v>0.9668244855176573</v>
      </c>
      <c r="X47" s="478">
        <f>S47/R47</f>
        <v>0.9484166235915868</v>
      </c>
      <c r="Y47" s="478">
        <f>T47/S47</f>
        <v>0.990880571676349</v>
      </c>
      <c r="Z47" s="478">
        <f>T47/P47</f>
        <v>0.8754025274066837</v>
      </c>
      <c r="AA47" s="481"/>
      <c r="AB47" s="483">
        <f>((T47/P47)^0.25)-1</f>
        <v>-0.032720577132272166</v>
      </c>
    </row>
    <row r="48" spans="1:28" ht="6" customHeight="1" thickTop="1">
      <c r="A48" s="471"/>
      <c r="B48" s="472"/>
      <c r="C48" s="474"/>
      <c r="D48" s="474"/>
      <c r="E48" s="474"/>
      <c r="F48" s="474"/>
      <c r="G48" s="499"/>
      <c r="H48" s="474"/>
      <c r="I48" s="474"/>
      <c r="J48" s="474"/>
      <c r="K48" s="474"/>
      <c r="L48" s="474"/>
      <c r="M48" s="474"/>
      <c r="N48" s="475"/>
      <c r="P48" s="472"/>
      <c r="Q48" s="473"/>
      <c r="R48" s="474"/>
      <c r="S48" s="474"/>
      <c r="T48" s="474"/>
      <c r="U48" s="240"/>
      <c r="V48" s="474"/>
      <c r="W48" s="474"/>
      <c r="X48" s="474"/>
      <c r="Y48" s="474"/>
      <c r="Z48" s="474"/>
      <c r="AA48" s="474"/>
      <c r="AB48" s="475"/>
    </row>
    <row r="49" spans="1:28" ht="12.75">
      <c r="A49" s="471" t="s">
        <v>253</v>
      </c>
      <c r="B49" s="472">
        <v>0.6992331076624476</v>
      </c>
      <c r="C49" s="474">
        <v>0.669097457593255</v>
      </c>
      <c r="D49" s="474">
        <v>0.6425043616220375</v>
      </c>
      <c r="E49" s="474">
        <v>0.6363700412208919</v>
      </c>
      <c r="F49" s="474">
        <v>0.6314852737568856</v>
      </c>
      <c r="G49" s="240">
        <v>6335.27535</v>
      </c>
      <c r="H49" s="474">
        <f>C49/B49</f>
        <v>0.9569018547048826</v>
      </c>
      <c r="I49" s="474">
        <f>D49/C49</f>
        <v>0.9602552727268268</v>
      </c>
      <c r="J49" s="474">
        <f>E49/D49</f>
        <v>0.9904524844225817</v>
      </c>
      <c r="K49" s="474">
        <f>F49/E49</f>
        <v>0.992324014099352</v>
      </c>
      <c r="L49" s="474">
        <f>F49/B49</f>
        <v>0.9031112326302102</v>
      </c>
      <c r="M49" s="474"/>
      <c r="N49" s="475">
        <f>((F49/B49)^0.25)-1</f>
        <v>-0.025155578087764696</v>
      </c>
      <c r="P49" s="472">
        <v>0.7058951269954664</v>
      </c>
      <c r="Q49" s="473">
        <v>0.6725966713083592</v>
      </c>
      <c r="R49" s="474">
        <v>0.6502252514766743</v>
      </c>
      <c r="S49" s="474">
        <v>0.6203207084318897</v>
      </c>
      <c r="T49" s="474">
        <v>0.6224007355227603</v>
      </c>
      <c r="U49" s="240">
        <v>4546.41588</v>
      </c>
      <c r="V49" s="474">
        <f>Q49/P49</f>
        <v>0.9528280414275745</v>
      </c>
      <c r="W49" s="474">
        <f>R49/Q49</f>
        <v>0.9667387294852839</v>
      </c>
      <c r="X49" s="474">
        <f>S49/R49</f>
        <v>0.9540089484730548</v>
      </c>
      <c r="Y49" s="474">
        <f>T49/S49</f>
        <v>1.0033531479162265</v>
      </c>
      <c r="Z49" s="474">
        <f>T49/P49</f>
        <v>0.8817184192387231</v>
      </c>
      <c r="AA49" s="474"/>
      <c r="AB49" s="475">
        <f>((T49/P49)^0.25)-1</f>
        <v>-0.030980585441286568</v>
      </c>
    </row>
    <row r="50" spans="1:28" ht="4.5" customHeight="1">
      <c r="A50" s="471"/>
      <c r="B50" s="472"/>
      <c r="C50" s="474"/>
      <c r="D50" s="474"/>
      <c r="E50" s="474"/>
      <c r="F50" s="474"/>
      <c r="G50" s="240"/>
      <c r="H50" s="474"/>
      <c r="I50" s="474"/>
      <c r="J50" s="474"/>
      <c r="K50" s="474"/>
      <c r="L50" s="474"/>
      <c r="M50" s="474"/>
      <c r="N50" s="475"/>
      <c r="P50" s="472"/>
      <c r="Q50" s="473"/>
      <c r="R50" s="474"/>
      <c r="S50" s="474"/>
      <c r="T50" s="474"/>
      <c r="U50" s="240"/>
      <c r="V50" s="474"/>
      <c r="W50" s="474"/>
      <c r="X50" s="474"/>
      <c r="Y50" s="474"/>
      <c r="Z50" s="474"/>
      <c r="AA50" s="474"/>
      <c r="AB50" s="475"/>
    </row>
    <row r="51" spans="1:28" ht="12.75">
      <c r="A51" s="471" t="s">
        <v>254</v>
      </c>
      <c r="B51" s="472">
        <v>0.846398365414679</v>
      </c>
      <c r="C51" s="474">
        <v>0.8539613087038712</v>
      </c>
      <c r="D51" s="474">
        <v>0.8354526626244414</v>
      </c>
      <c r="E51" s="474">
        <v>0.8301424152336518</v>
      </c>
      <c r="F51" s="474">
        <v>0.8082670591689508</v>
      </c>
      <c r="G51" s="240">
        <v>1249.041236</v>
      </c>
      <c r="H51" s="474">
        <f>C51/B51</f>
        <v>1.0089354417473229</v>
      </c>
      <c r="I51" s="474">
        <f>D51/C51</f>
        <v>0.9783261303635384</v>
      </c>
      <c r="J51" s="474">
        <f>E51/D51</f>
        <v>0.9936438680150851</v>
      </c>
      <c r="K51" s="474">
        <f>F51/E51</f>
        <v>0.973648670802414</v>
      </c>
      <c r="L51" s="474">
        <f>F51/B51</f>
        <v>0.9549487477719236</v>
      </c>
      <c r="M51" s="474"/>
      <c r="N51" s="475">
        <f>((F51/B51)^0.25)-1</f>
        <v>-0.011458250243501222</v>
      </c>
      <c r="P51" s="472">
        <v>0.8641028337799966</v>
      </c>
      <c r="Q51" s="473">
        <v>0.8783841709246926</v>
      </c>
      <c r="R51" s="474">
        <v>0.8721582540581182</v>
      </c>
      <c r="S51" s="474">
        <v>0.8280915082117812</v>
      </c>
      <c r="T51" s="474">
        <v>0.7939753914070057</v>
      </c>
      <c r="U51" s="240">
        <v>893.161994</v>
      </c>
      <c r="V51" s="474">
        <f>Q51/P51</f>
        <v>1.016527358303204</v>
      </c>
      <c r="W51" s="474">
        <f>R51/Q51</f>
        <v>0.9929120798476819</v>
      </c>
      <c r="X51" s="474">
        <f>S51/R51</f>
        <v>0.9494739106792877</v>
      </c>
      <c r="Y51" s="474">
        <f>T51/S51</f>
        <v>0.9588015135205921</v>
      </c>
      <c r="Z51" s="474">
        <f>T51/P51</f>
        <v>0.9188436380121331</v>
      </c>
      <c r="AA51" s="474"/>
      <c r="AB51" s="475">
        <f>((T51/P51)^0.25)-1</f>
        <v>-0.020937530199475085</v>
      </c>
    </row>
    <row r="52" spans="1:28" ht="4.5" customHeight="1">
      <c r="A52" s="471"/>
      <c r="B52" s="472"/>
      <c r="C52" s="474"/>
      <c r="D52" s="474"/>
      <c r="E52" s="474"/>
      <c r="F52" s="474"/>
      <c r="G52" s="240"/>
      <c r="H52" s="474"/>
      <c r="I52" s="474"/>
      <c r="J52" s="474"/>
      <c r="K52" s="474"/>
      <c r="L52" s="474"/>
      <c r="M52" s="474"/>
      <c r="N52" s="475"/>
      <c r="P52" s="472"/>
      <c r="Q52" s="473"/>
      <c r="R52" s="474"/>
      <c r="S52" s="474"/>
      <c r="T52" s="474"/>
      <c r="U52" s="240"/>
      <c r="V52" s="474"/>
      <c r="W52" s="474"/>
      <c r="X52" s="474"/>
      <c r="Y52" s="474"/>
      <c r="Z52" s="474"/>
      <c r="AA52" s="474"/>
      <c r="AB52" s="475"/>
    </row>
    <row r="53" spans="1:28" ht="12.75">
      <c r="A53" s="471" t="s">
        <v>256</v>
      </c>
      <c r="B53" s="472">
        <v>0.8487810651036483</v>
      </c>
      <c r="C53" s="474">
        <v>0.8553802546142797</v>
      </c>
      <c r="D53" s="474">
        <v>0.8306910475146176</v>
      </c>
      <c r="E53" s="474">
        <v>0.7987041657699501</v>
      </c>
      <c r="F53" s="474">
        <v>0.7715924924340953</v>
      </c>
      <c r="G53" s="240">
        <v>201.60759</v>
      </c>
      <c r="H53" s="474">
        <f>C53/B53</f>
        <v>1.0077749018939597</v>
      </c>
      <c r="I53" s="474">
        <f>D53/C53</f>
        <v>0.97113657117232</v>
      </c>
      <c r="J53" s="474">
        <f>E53/D53</f>
        <v>0.9614936481615269</v>
      </c>
      <c r="K53" s="474">
        <f>F53/E53</f>
        <v>0.966055425152667</v>
      </c>
      <c r="L53" s="474">
        <f>F53/B53</f>
        <v>0.9090595020988986</v>
      </c>
      <c r="M53" s="474"/>
      <c r="N53" s="475">
        <f>((F53/B53)^0.25)-1</f>
        <v>-0.02355434399154477</v>
      </c>
      <c r="P53" s="472">
        <v>0.850940060745201</v>
      </c>
      <c r="Q53" s="473">
        <v>0.8530630009744458</v>
      </c>
      <c r="R53" s="474">
        <v>0.818597553498257</v>
      </c>
      <c r="S53" s="474">
        <v>0.7712581637346433</v>
      </c>
      <c r="T53" s="474">
        <v>0.7357287646981969</v>
      </c>
      <c r="U53" s="240">
        <v>143.100863</v>
      </c>
      <c r="V53" s="474">
        <f>Q53/P53</f>
        <v>1.0024948175872523</v>
      </c>
      <c r="W53" s="474">
        <f>R53/Q53</f>
        <v>0.9595980045590781</v>
      </c>
      <c r="X53" s="474">
        <f>S53/R53</f>
        <v>0.9421701304123009</v>
      </c>
      <c r="Y53" s="474">
        <f>T53/S53</f>
        <v>0.9539331955147116</v>
      </c>
      <c r="Z53" s="474">
        <f>T53/P53</f>
        <v>0.8646070371324285</v>
      </c>
      <c r="AA53" s="474"/>
      <c r="AB53" s="475">
        <f>((T53/P53)^0.25)-1</f>
        <v>-0.03571659780859748</v>
      </c>
    </row>
    <row r="54" spans="1:29" ht="4.5" customHeight="1">
      <c r="A54" s="471"/>
      <c r="B54" s="472"/>
      <c r="C54" s="474"/>
      <c r="D54" s="474"/>
      <c r="E54" s="206"/>
      <c r="F54" s="206"/>
      <c r="G54" s="264"/>
      <c r="H54" s="474"/>
      <c r="I54" s="474"/>
      <c r="J54" s="474"/>
      <c r="K54" s="474"/>
      <c r="L54" s="474"/>
      <c r="M54" s="474"/>
      <c r="N54" s="475"/>
      <c r="O54" s="439"/>
      <c r="P54" s="472"/>
      <c r="Q54" s="473"/>
      <c r="R54" s="473"/>
      <c r="S54" s="473"/>
      <c r="T54" s="473"/>
      <c r="U54" s="240"/>
      <c r="V54" s="474"/>
      <c r="W54" s="474"/>
      <c r="X54" s="474"/>
      <c r="Y54" s="474"/>
      <c r="Z54" s="474"/>
      <c r="AA54" s="474"/>
      <c r="AB54" s="475"/>
      <c r="AC54" s="439"/>
    </row>
    <row r="55" spans="1:28" ht="13.5" thickBot="1">
      <c r="A55" s="476" t="s">
        <v>84</v>
      </c>
      <c r="B55" s="477">
        <v>0.7288814924163056</v>
      </c>
      <c r="C55" s="478">
        <v>0.7029184705563963</v>
      </c>
      <c r="D55" s="478">
        <v>0.6740400442650978</v>
      </c>
      <c r="E55" s="481">
        <v>0.6691798591775346</v>
      </c>
      <c r="F55" s="481">
        <v>0.6576526805749221</v>
      </c>
      <c r="G55" s="482">
        <v>7785.9241759999995</v>
      </c>
      <c r="H55" s="478">
        <f>C55/B55</f>
        <v>0.9643796390359157</v>
      </c>
      <c r="I55" s="478">
        <f>D55/C55</f>
        <v>0.9589163928663877</v>
      </c>
      <c r="J55" s="478">
        <f>E55/D55</f>
        <v>0.9927894712948959</v>
      </c>
      <c r="K55" s="478">
        <f>F55/E55</f>
        <v>0.9827741698371194</v>
      </c>
      <c r="L55" s="478">
        <f>F55/B55</f>
        <v>0.9022765530714001</v>
      </c>
      <c r="M55" s="481"/>
      <c r="N55" s="483">
        <f>((F55/B55)^0.25)-1</f>
        <v>-0.025380900518979788</v>
      </c>
      <c r="P55" s="479">
        <v>0.7394733881695901</v>
      </c>
      <c r="Q55" s="480">
        <v>0.7124628668282076</v>
      </c>
      <c r="R55" s="481">
        <v>0.6888265446716116</v>
      </c>
      <c r="S55" s="481">
        <v>0.653294545737715</v>
      </c>
      <c r="T55" s="481">
        <v>0.647336872953627</v>
      </c>
      <c r="U55" s="482">
        <v>5582.678736999999</v>
      </c>
      <c r="V55" s="478">
        <f>Q55/P55</f>
        <v>0.9634733017123965</v>
      </c>
      <c r="W55" s="478">
        <f>R55/Q55</f>
        <v>0.9668244855176498</v>
      </c>
      <c r="X55" s="478">
        <f>S55/R55</f>
        <v>0.9484166235915951</v>
      </c>
      <c r="Y55" s="478">
        <f>T55/S55</f>
        <v>0.9908805716763478</v>
      </c>
      <c r="Z55" s="478">
        <f>T55/P55</f>
        <v>0.8754025274066622</v>
      </c>
      <c r="AA55" s="481"/>
      <c r="AB55" s="483">
        <f>((T55/P55)^0.25)-1</f>
        <v>-0.03272057713227805</v>
      </c>
    </row>
    <row r="56" ht="6.75" customHeight="1" thickTop="1"/>
    <row r="57" spans="2:25" ht="19.5" customHeight="1">
      <c r="B57" s="711" t="s">
        <v>145</v>
      </c>
      <c r="C57" s="711"/>
      <c r="D57" s="711"/>
      <c r="E57" s="711"/>
      <c r="F57" s="711"/>
      <c r="O57" s="439"/>
      <c r="P57" s="439"/>
      <c r="Q57" s="439"/>
      <c r="R57" s="439"/>
      <c r="S57" s="439"/>
      <c r="T57" s="439"/>
      <c r="U57" s="439"/>
      <c r="V57" s="439"/>
      <c r="W57" s="439"/>
      <c r="X57" s="439"/>
      <c r="Y57" s="439"/>
    </row>
    <row r="58" spans="15:25" ht="12.75">
      <c r="O58" s="439"/>
      <c r="P58" s="500"/>
      <c r="Q58" s="501"/>
      <c r="R58" s="501"/>
      <c r="S58" s="501"/>
      <c r="T58" s="501"/>
      <c r="U58" s="501"/>
      <c r="V58" s="439"/>
      <c r="W58" s="439"/>
      <c r="X58" s="439"/>
      <c r="Y58" s="439"/>
    </row>
    <row r="59" spans="15:25" ht="12.75">
      <c r="O59" s="439"/>
      <c r="P59" s="439"/>
      <c r="Q59" s="439"/>
      <c r="R59" s="439"/>
      <c r="S59" s="439"/>
      <c r="T59" s="439"/>
      <c r="U59" s="439"/>
      <c r="V59" s="439"/>
      <c r="W59" s="439"/>
      <c r="X59" s="502"/>
      <c r="Y59" s="439"/>
    </row>
    <row r="60" spans="15:25" ht="12.75">
      <c r="O60" s="439"/>
      <c r="P60" s="500"/>
      <c r="Q60" s="501"/>
      <c r="R60" s="501"/>
      <c r="S60" s="501"/>
      <c r="T60" s="501"/>
      <c r="U60" s="501"/>
      <c r="V60" s="439"/>
      <c r="W60" s="439"/>
      <c r="X60" s="502"/>
      <c r="Y60" s="439"/>
    </row>
    <row r="61" spans="15:25" ht="12.75">
      <c r="O61" s="439"/>
      <c r="P61" s="439"/>
      <c r="Q61" s="439"/>
      <c r="R61" s="439"/>
      <c r="S61" s="439"/>
      <c r="T61" s="439"/>
      <c r="U61" s="439"/>
      <c r="V61" s="439"/>
      <c r="W61" s="439"/>
      <c r="X61" s="502"/>
      <c r="Y61" s="439"/>
    </row>
    <row r="62" spans="15:25" ht="12.75">
      <c r="O62" s="439"/>
      <c r="P62" s="500"/>
      <c r="Q62" s="501"/>
      <c r="R62" s="501"/>
      <c r="S62" s="501"/>
      <c r="T62" s="501"/>
      <c r="U62" s="501"/>
      <c r="V62" s="439"/>
      <c r="W62" s="439"/>
      <c r="X62" s="502"/>
      <c r="Y62" s="439"/>
    </row>
    <row r="63" spans="15:25" ht="12.75">
      <c r="O63" s="439"/>
      <c r="P63" s="439"/>
      <c r="Q63" s="439"/>
      <c r="R63" s="439"/>
      <c r="S63" s="439"/>
      <c r="T63" s="439"/>
      <c r="U63" s="439"/>
      <c r="V63" s="439"/>
      <c r="W63" s="439"/>
      <c r="X63" s="502"/>
      <c r="Y63" s="439"/>
    </row>
    <row r="64" spans="15:25" ht="12.75">
      <c r="O64" s="439"/>
      <c r="P64" s="439"/>
      <c r="Q64" s="501"/>
      <c r="R64" s="501"/>
      <c r="S64" s="501"/>
      <c r="T64" s="501"/>
      <c r="U64" s="501"/>
      <c r="V64" s="439"/>
      <c r="W64" s="439"/>
      <c r="X64" s="502"/>
      <c r="Y64" s="439"/>
    </row>
    <row r="65" spans="15:25" ht="12.75">
      <c r="O65" s="439"/>
      <c r="P65" s="439"/>
      <c r="Q65" s="439"/>
      <c r="R65" s="439"/>
      <c r="S65" s="439"/>
      <c r="T65" s="439"/>
      <c r="U65" s="439"/>
      <c r="V65" s="439"/>
      <c r="W65" s="439"/>
      <c r="X65" s="502"/>
      <c r="Y65" s="439"/>
    </row>
    <row r="66" spans="15:25" ht="12.75">
      <c r="O66" s="439"/>
      <c r="P66" s="439"/>
      <c r="Q66" s="439"/>
      <c r="R66" s="439"/>
      <c r="S66" s="439"/>
      <c r="T66" s="439"/>
      <c r="U66" s="439"/>
      <c r="V66" s="439"/>
      <c r="W66" s="439"/>
      <c r="X66" s="502"/>
      <c r="Y66" s="439"/>
    </row>
    <row r="67" spans="15:25" ht="12.75">
      <c r="O67" s="439"/>
      <c r="P67" s="439"/>
      <c r="Q67" s="439"/>
      <c r="R67" s="439"/>
      <c r="S67" s="439"/>
      <c r="T67" s="439"/>
      <c r="U67" s="439"/>
      <c r="V67" s="439"/>
      <c r="W67" s="439"/>
      <c r="X67" s="502"/>
      <c r="Y67" s="439"/>
    </row>
    <row r="68" spans="15:25" ht="12.75">
      <c r="O68" s="439"/>
      <c r="P68" s="439"/>
      <c r="Q68" s="439"/>
      <c r="R68" s="439"/>
      <c r="S68" s="439"/>
      <c r="T68" s="439"/>
      <c r="U68" s="439"/>
      <c r="V68" s="439"/>
      <c r="W68" s="439"/>
      <c r="X68" s="439"/>
      <c r="Y68" s="439"/>
    </row>
    <row r="69" spans="15:25" ht="12.75">
      <c r="O69" s="439"/>
      <c r="P69" s="439"/>
      <c r="Q69" s="439"/>
      <c r="R69" s="439"/>
      <c r="S69" s="439"/>
      <c r="T69" s="439"/>
      <c r="U69" s="439"/>
      <c r="V69" s="439"/>
      <c r="W69" s="439"/>
      <c r="X69" s="439"/>
      <c r="Y69" s="439"/>
    </row>
  </sheetData>
  <sheetProtection/>
  <mergeCells count="24">
    <mergeCell ref="B1:AB1"/>
    <mergeCell ref="B2:AB2"/>
    <mergeCell ref="B3:AB3"/>
    <mergeCell ref="B4:AB4"/>
    <mergeCell ref="B5:AB5"/>
    <mergeCell ref="B6:O6"/>
    <mergeCell ref="P6:AB6"/>
    <mergeCell ref="P7:T7"/>
    <mergeCell ref="V7:Z7"/>
    <mergeCell ref="B23:N23"/>
    <mergeCell ref="P23:AB23"/>
    <mergeCell ref="P24:T24"/>
    <mergeCell ref="V24:Z24"/>
    <mergeCell ref="B24:F24"/>
    <mergeCell ref="H24:L24"/>
    <mergeCell ref="B7:F7"/>
    <mergeCell ref="H7:L7"/>
    <mergeCell ref="B57:F57"/>
    <mergeCell ref="B40:N40"/>
    <mergeCell ref="P40:AB40"/>
    <mergeCell ref="B41:F41"/>
    <mergeCell ref="H41:L41"/>
    <mergeCell ref="P41:T41"/>
    <mergeCell ref="V41:Z41"/>
  </mergeCells>
  <printOptions/>
  <pageMargins left="0.75" right="0.75" top="1" bottom="1" header="0.5" footer="0.5"/>
  <pageSetup horizontalDpi="600" verticalDpi="600" orientation="landscape" scale="53" r:id="rId1"/>
  <headerFooter alignWithMargins="0">
    <oddFooter>&amp;L"&amp;F"&amp;R&amp;"Arial,Italic"&amp;A</oddFooter>
  </headerFooter>
</worksheet>
</file>

<file path=xl/worksheets/sheet2.xml><?xml version="1.0" encoding="utf-8"?>
<worksheet xmlns="http://schemas.openxmlformats.org/spreadsheetml/2006/main" xmlns:r="http://schemas.openxmlformats.org/officeDocument/2006/relationships">
  <dimension ref="A1:AB76"/>
  <sheetViews>
    <sheetView zoomScale="85" zoomScaleNormal="85" zoomScaleSheetLayoutView="70" workbookViewId="0" topLeftCell="A1">
      <selection activeCell="F20" sqref="F20"/>
    </sheetView>
  </sheetViews>
  <sheetFormatPr defaultColWidth="9.140625" defaultRowHeight="12.75"/>
  <cols>
    <col min="1" max="1" width="19.28125" style="8" bestFit="1" customWidth="1"/>
    <col min="2" max="2" width="10.7109375" style="8" customWidth="1"/>
    <col min="3" max="3" width="10.7109375" style="184" customWidth="1"/>
    <col min="4" max="5" width="9.28125" style="185" customWidth="1"/>
    <col min="6" max="6" width="2.7109375" style="186" customWidth="1"/>
    <col min="7" max="7" width="10.7109375" style="187" customWidth="1"/>
    <col min="8" max="9" width="9.28125" style="188" customWidth="1"/>
    <col min="10" max="10" width="2.7109375" style="186" customWidth="1"/>
    <col min="11" max="11" width="10.7109375" style="187" customWidth="1"/>
    <col min="12" max="13" width="9.28125" style="188" customWidth="1"/>
    <col min="14" max="14" width="2.7109375" style="186" customWidth="1"/>
    <col min="15" max="15" width="10.7109375" style="187" customWidth="1"/>
    <col min="16" max="17" width="9.28125" style="188" customWidth="1"/>
    <col min="18" max="25" width="9.140625" style="189" customWidth="1"/>
    <col min="26" max="16384" width="9.140625" style="186" customWidth="1"/>
  </cols>
  <sheetData>
    <row r="1" spans="8:12" ht="27.75" customHeight="1">
      <c r="H1" s="674" t="s">
        <v>86</v>
      </c>
      <c r="I1" s="674"/>
      <c r="J1" s="674"/>
      <c r="K1" s="674"/>
      <c r="L1" s="674"/>
    </row>
    <row r="2" spans="3:17" ht="18">
      <c r="C2" s="9" t="s">
        <v>80</v>
      </c>
      <c r="D2" s="190"/>
      <c r="E2" s="190"/>
      <c r="F2" s="191"/>
      <c r="G2" s="192"/>
      <c r="H2" s="190"/>
      <c r="I2" s="190"/>
      <c r="J2" s="191"/>
      <c r="K2" s="192"/>
      <c r="L2" s="190"/>
      <c r="M2" s="190"/>
      <c r="N2" s="191"/>
      <c r="O2" s="192"/>
      <c r="P2" s="190"/>
      <c r="Q2" s="190"/>
    </row>
    <row r="3" spans="3:17" ht="18">
      <c r="C3" s="9"/>
      <c r="D3" s="190"/>
      <c r="E3" s="190"/>
      <c r="F3" s="191"/>
      <c r="G3" s="192"/>
      <c r="H3" s="675" t="s">
        <v>150</v>
      </c>
      <c r="I3" s="675"/>
      <c r="J3" s="675"/>
      <c r="K3" s="675"/>
      <c r="L3" s="675"/>
      <c r="M3" s="190"/>
      <c r="N3" s="191"/>
      <c r="O3" s="192"/>
      <c r="P3" s="190"/>
      <c r="Q3" s="190"/>
    </row>
    <row r="4" spans="3:17" ht="15.75">
      <c r="C4" s="10" t="s">
        <v>1</v>
      </c>
      <c r="D4" s="190"/>
      <c r="E4" s="190"/>
      <c r="F4" s="191"/>
      <c r="G4" s="192"/>
      <c r="H4" s="190"/>
      <c r="I4" s="190"/>
      <c r="J4" s="191"/>
      <c r="K4" s="192"/>
      <c r="L4" s="190"/>
      <c r="M4" s="190"/>
      <c r="N4" s="191"/>
      <c r="O4" s="192"/>
      <c r="P4" s="190"/>
      <c r="Q4" s="190"/>
    </row>
    <row r="5" spans="3:11" ht="15.75">
      <c r="C5" s="11"/>
      <c r="F5" s="191"/>
      <c r="G5" s="192"/>
      <c r="H5" s="190"/>
      <c r="I5" s="190"/>
      <c r="J5" s="191"/>
      <c r="K5" s="192"/>
    </row>
    <row r="6" spans="3:28" ht="15.75" customHeight="1">
      <c r="C6" s="673" t="s">
        <v>132</v>
      </c>
      <c r="D6" s="673"/>
      <c r="E6" s="673"/>
      <c r="F6" s="191"/>
      <c r="G6" s="673" t="s">
        <v>67</v>
      </c>
      <c r="H6" s="673"/>
      <c r="I6" s="673"/>
      <c r="J6" s="191"/>
      <c r="K6" s="673" t="s">
        <v>130</v>
      </c>
      <c r="L6" s="673"/>
      <c r="M6" s="673"/>
      <c r="O6" s="673" t="s">
        <v>68</v>
      </c>
      <c r="P6" s="673"/>
      <c r="Q6" s="673"/>
      <c r="R6" s="666"/>
      <c r="S6" s="666"/>
      <c r="T6" s="666"/>
      <c r="U6" s="666"/>
      <c r="V6" s="666"/>
      <c r="W6" s="666"/>
      <c r="X6" s="666"/>
      <c r="Y6" s="666"/>
      <c r="Z6" s="666"/>
      <c r="AA6" s="666"/>
      <c r="AB6" s="666"/>
    </row>
    <row r="7" spans="3:25" s="12" customFormat="1" ht="39.75" customHeight="1">
      <c r="C7" s="13" t="s">
        <v>2</v>
      </c>
      <c r="D7" s="367" t="s">
        <v>257</v>
      </c>
      <c r="E7" s="2" t="s">
        <v>70</v>
      </c>
      <c r="G7" s="13" t="s">
        <v>2</v>
      </c>
      <c r="H7" s="367" t="s">
        <v>257</v>
      </c>
      <c r="I7" s="2" t="s">
        <v>70</v>
      </c>
      <c r="K7" s="13" t="s">
        <v>2</v>
      </c>
      <c r="L7" s="367" t="s">
        <v>257</v>
      </c>
      <c r="M7" s="2" t="s">
        <v>70</v>
      </c>
      <c r="O7" s="13" t="s">
        <v>2</v>
      </c>
      <c r="P7" s="367" t="s">
        <v>257</v>
      </c>
      <c r="Q7" s="2" t="s">
        <v>70</v>
      </c>
      <c r="R7" s="47"/>
      <c r="S7" s="47"/>
      <c r="T7" s="47"/>
      <c r="U7" s="47"/>
      <c r="V7" s="47"/>
      <c r="W7" s="47"/>
      <c r="X7" s="47"/>
      <c r="Y7" s="47"/>
    </row>
    <row r="8" spans="1:25" s="195" customFormat="1" ht="12.75">
      <c r="A8" s="8" t="s">
        <v>10</v>
      </c>
      <c r="B8" s="14"/>
      <c r="C8" s="3">
        <v>79601</v>
      </c>
      <c r="D8" s="48">
        <v>0.7365744371636881</v>
      </c>
      <c r="E8" s="48">
        <v>0.6205330909544843</v>
      </c>
      <c r="F8" s="49"/>
      <c r="G8" s="3">
        <v>31295</v>
      </c>
      <c r="H8" s="48">
        <v>0.9346694887296118</v>
      </c>
      <c r="I8" s="48">
        <v>0.8153115495346234</v>
      </c>
      <c r="J8" s="49"/>
      <c r="K8" s="3">
        <v>52021</v>
      </c>
      <c r="L8" s="48">
        <v>0.7432859606851695</v>
      </c>
      <c r="M8" s="48">
        <v>0.6709097962221361</v>
      </c>
      <c r="N8" s="49"/>
      <c r="O8" s="3">
        <v>23543</v>
      </c>
      <c r="P8" s="48">
        <v>0.9472311122354768</v>
      </c>
      <c r="Q8" s="50">
        <v>0.8315156245762175</v>
      </c>
      <c r="R8" s="194"/>
      <c r="S8" s="194"/>
      <c r="T8" s="194"/>
      <c r="U8" s="194"/>
      <c r="V8" s="194"/>
      <c r="W8" s="194"/>
      <c r="X8" s="194"/>
      <c r="Y8" s="194"/>
    </row>
    <row r="9" spans="1:25" s="195" customFormat="1" ht="12.75">
      <c r="A9" s="8"/>
      <c r="B9" s="8"/>
      <c r="C9" s="196"/>
      <c r="D9" s="193"/>
      <c r="E9" s="193"/>
      <c r="G9" s="196"/>
      <c r="H9" s="193"/>
      <c r="I9" s="193"/>
      <c r="K9" s="196"/>
      <c r="L9" s="193"/>
      <c r="M9" s="193"/>
      <c r="O9" s="196"/>
      <c r="P9" s="193"/>
      <c r="Q9" s="193"/>
      <c r="R9" s="194"/>
      <c r="S9" s="194"/>
      <c r="T9" s="194"/>
      <c r="U9" s="194"/>
      <c r="V9" s="194"/>
      <c r="W9" s="194"/>
      <c r="X9" s="194"/>
      <c r="Y9" s="194"/>
    </row>
    <row r="10" spans="1:25" s="195" customFormat="1" ht="12.75">
      <c r="A10" s="12" t="s">
        <v>11</v>
      </c>
      <c r="B10" s="197" t="s">
        <v>16</v>
      </c>
      <c r="C10" s="198">
        <v>1691</v>
      </c>
      <c r="D10" s="199">
        <v>1.095214482017863</v>
      </c>
      <c r="E10" s="199">
        <v>0.8612949741157987</v>
      </c>
      <c r="F10" s="200"/>
      <c r="G10" s="198">
        <v>825</v>
      </c>
      <c r="H10" s="199">
        <v>0.9831168216150022</v>
      </c>
      <c r="I10" s="199">
        <v>0.8397307431901885</v>
      </c>
      <c r="J10" s="200"/>
      <c r="K10" s="198">
        <v>819</v>
      </c>
      <c r="L10" s="199">
        <v>0.8190027436591795</v>
      </c>
      <c r="M10" s="199">
        <v>0.689873043038752</v>
      </c>
      <c r="N10" s="200"/>
      <c r="O10" s="198">
        <v>373</v>
      </c>
      <c r="P10" s="199">
        <v>0.8203082098072996</v>
      </c>
      <c r="Q10" s="201">
        <v>0.7413874029734804</v>
      </c>
      <c r="R10" s="189"/>
      <c r="S10" s="194"/>
      <c r="T10" s="194"/>
      <c r="U10" s="194"/>
      <c r="V10" s="194"/>
      <c r="W10" s="194"/>
      <c r="X10" s="194"/>
      <c r="Y10" s="194"/>
    </row>
    <row r="11" spans="1:25" s="195" customFormat="1" ht="12.75">
      <c r="A11" s="8"/>
      <c r="B11" s="202" t="s">
        <v>17</v>
      </c>
      <c r="C11" s="203">
        <v>2665</v>
      </c>
      <c r="D11" s="204">
        <v>0.7876890392363531</v>
      </c>
      <c r="E11" s="204">
        <v>0.7016060372672301</v>
      </c>
      <c r="F11" s="194"/>
      <c r="G11" s="203">
        <v>1111</v>
      </c>
      <c r="H11" s="204">
        <v>0.9008478965274547</v>
      </c>
      <c r="I11" s="204">
        <v>0.6989495708743257</v>
      </c>
      <c r="J11" s="194"/>
      <c r="K11" s="203">
        <v>1465</v>
      </c>
      <c r="L11" s="204">
        <v>0.7072969172398585</v>
      </c>
      <c r="M11" s="204">
        <v>0.6034325186004288</v>
      </c>
      <c r="N11" s="194"/>
      <c r="O11" s="203">
        <v>500</v>
      </c>
      <c r="P11" s="204">
        <v>0.8025343778842483</v>
      </c>
      <c r="Q11" s="205">
        <v>0.6578155129448515</v>
      </c>
      <c r="R11" s="189"/>
      <c r="S11" s="194"/>
      <c r="T11" s="194"/>
      <c r="U11" s="194"/>
      <c r="V11" s="194"/>
      <c r="W11" s="194"/>
      <c r="X11" s="194"/>
      <c r="Y11" s="194"/>
    </row>
    <row r="12" spans="1:25" s="195" customFormat="1" ht="12.75">
      <c r="A12" s="8"/>
      <c r="B12" s="202" t="s">
        <v>18</v>
      </c>
      <c r="C12" s="203">
        <v>4319</v>
      </c>
      <c r="D12" s="204">
        <v>0.7142317175362991</v>
      </c>
      <c r="E12" s="204">
        <v>0.6407258428416285</v>
      </c>
      <c r="F12" s="194"/>
      <c r="G12" s="203">
        <v>1874</v>
      </c>
      <c r="H12" s="204">
        <v>0.8283866955597616</v>
      </c>
      <c r="I12" s="204">
        <v>0.7469714020824646</v>
      </c>
      <c r="J12" s="194"/>
      <c r="K12" s="203">
        <v>2386</v>
      </c>
      <c r="L12" s="204">
        <v>0.6727121895798145</v>
      </c>
      <c r="M12" s="204">
        <v>0.6413989593310323</v>
      </c>
      <c r="N12" s="194"/>
      <c r="O12" s="203">
        <v>878</v>
      </c>
      <c r="P12" s="204">
        <v>0.7635703408129202</v>
      </c>
      <c r="Q12" s="205">
        <v>0.7058660118204291</v>
      </c>
      <c r="R12" s="189"/>
      <c r="S12" s="194"/>
      <c r="T12" s="194"/>
      <c r="U12" s="194"/>
      <c r="V12" s="194"/>
      <c r="W12" s="194"/>
      <c r="X12" s="194"/>
      <c r="Y12" s="194"/>
    </row>
    <row r="13" spans="1:25" s="195" customFormat="1" ht="12.75">
      <c r="A13" s="8"/>
      <c r="B13" s="202" t="s">
        <v>19</v>
      </c>
      <c r="C13" s="203">
        <v>5982</v>
      </c>
      <c r="D13" s="204">
        <v>0.6994387062843971</v>
      </c>
      <c r="E13" s="204">
        <v>0.5805171030890853</v>
      </c>
      <c r="F13" s="194"/>
      <c r="G13" s="203">
        <v>2804</v>
      </c>
      <c r="H13" s="204">
        <v>0.8437300418088265</v>
      </c>
      <c r="I13" s="204">
        <v>0.7002113907153404</v>
      </c>
      <c r="J13" s="194"/>
      <c r="K13" s="203">
        <v>3126</v>
      </c>
      <c r="L13" s="204">
        <v>0.6303716725828343</v>
      </c>
      <c r="M13" s="204">
        <v>0.6556101789419773</v>
      </c>
      <c r="N13" s="194"/>
      <c r="O13" s="203">
        <v>1345</v>
      </c>
      <c r="P13" s="204">
        <v>0.7412874828708755</v>
      </c>
      <c r="Q13" s="205">
        <v>0.6699934239451398</v>
      </c>
      <c r="R13" s="189"/>
      <c r="S13" s="194"/>
      <c r="T13" s="194"/>
      <c r="U13" s="194"/>
      <c r="V13" s="194"/>
      <c r="W13" s="194"/>
      <c r="X13" s="194"/>
      <c r="Y13" s="194"/>
    </row>
    <row r="14" spans="1:25" s="195" customFormat="1" ht="12.75">
      <c r="A14" s="8"/>
      <c r="B14" s="202" t="s">
        <v>20</v>
      </c>
      <c r="C14" s="203">
        <v>15611</v>
      </c>
      <c r="D14" s="204">
        <v>0.6816564409933313</v>
      </c>
      <c r="E14" s="204">
        <v>0.5905009641997132</v>
      </c>
      <c r="F14" s="194"/>
      <c r="G14" s="203">
        <v>8212</v>
      </c>
      <c r="H14" s="204">
        <v>0.9216996546587118</v>
      </c>
      <c r="I14" s="204">
        <v>0.7756978332687267</v>
      </c>
      <c r="J14" s="194"/>
      <c r="K14" s="203">
        <v>7828</v>
      </c>
      <c r="L14" s="204">
        <v>0.6097676721995628</v>
      </c>
      <c r="M14" s="204">
        <v>0.5743909409508856</v>
      </c>
      <c r="N14" s="194"/>
      <c r="O14" s="203">
        <v>4514</v>
      </c>
      <c r="P14" s="204">
        <v>0.8416278454791402</v>
      </c>
      <c r="Q14" s="205">
        <v>0.7373349324444857</v>
      </c>
      <c r="R14" s="189"/>
      <c r="S14" s="194"/>
      <c r="T14" s="194"/>
      <c r="U14" s="194"/>
      <c r="V14" s="194"/>
      <c r="W14" s="194"/>
      <c r="X14" s="194"/>
      <c r="Y14" s="194"/>
    </row>
    <row r="15" spans="1:25" s="195" customFormat="1" ht="12.75">
      <c r="A15" s="8"/>
      <c r="B15" s="202" t="s">
        <v>21</v>
      </c>
      <c r="C15" s="203">
        <v>21250</v>
      </c>
      <c r="D15" s="204">
        <v>0.6913396408286134</v>
      </c>
      <c r="E15" s="204">
        <v>0.5976330295554547</v>
      </c>
      <c r="F15" s="194"/>
      <c r="G15" s="203">
        <v>9077</v>
      </c>
      <c r="H15" s="204">
        <v>0.9783994737359842</v>
      </c>
      <c r="I15" s="204">
        <v>0.8955064848124106</v>
      </c>
      <c r="J15" s="194"/>
      <c r="K15" s="203">
        <v>11456</v>
      </c>
      <c r="L15" s="204">
        <v>0.6882017208056458</v>
      </c>
      <c r="M15" s="204">
        <v>0.5612560729082853</v>
      </c>
      <c r="N15" s="194"/>
      <c r="O15" s="203">
        <v>6753</v>
      </c>
      <c r="P15" s="204">
        <v>1.0102960900767808</v>
      </c>
      <c r="Q15" s="205">
        <v>0.821701937486864</v>
      </c>
      <c r="R15" s="189"/>
      <c r="S15" s="194"/>
      <c r="T15" s="194"/>
      <c r="U15" s="194"/>
      <c r="V15" s="194"/>
      <c r="W15" s="194"/>
      <c r="X15" s="194"/>
      <c r="Y15" s="194"/>
    </row>
    <row r="16" spans="1:25" s="195" customFormat="1" ht="12.75">
      <c r="A16" s="8"/>
      <c r="B16" s="202" t="s">
        <v>22</v>
      </c>
      <c r="C16" s="203">
        <v>21807</v>
      </c>
      <c r="D16" s="204">
        <v>0.7854081256271751</v>
      </c>
      <c r="E16" s="204">
        <v>0.675943058055147</v>
      </c>
      <c r="F16" s="194"/>
      <c r="G16" s="203">
        <v>6254</v>
      </c>
      <c r="H16" s="204">
        <v>0.966400556617047</v>
      </c>
      <c r="I16" s="204">
        <v>0.9790862358851616</v>
      </c>
      <c r="J16" s="194"/>
      <c r="K16" s="203">
        <v>16259</v>
      </c>
      <c r="L16" s="204">
        <v>0.8245633125451399</v>
      </c>
      <c r="M16" s="204">
        <v>0.7196912193287712</v>
      </c>
      <c r="N16" s="194"/>
      <c r="O16" s="203">
        <v>7800</v>
      </c>
      <c r="P16" s="204">
        <v>1.0385976964686023</v>
      </c>
      <c r="Q16" s="205">
        <v>0.9818955608134048</v>
      </c>
      <c r="R16" s="189"/>
      <c r="S16" s="194"/>
      <c r="T16" s="194"/>
      <c r="U16" s="194"/>
      <c r="V16" s="194"/>
      <c r="W16" s="194"/>
      <c r="X16" s="194"/>
      <c r="Y16" s="194"/>
    </row>
    <row r="17" spans="1:25" s="195" customFormat="1" ht="12.75">
      <c r="A17" s="8"/>
      <c r="B17" s="202" t="s">
        <v>23</v>
      </c>
      <c r="C17" s="203">
        <v>5886</v>
      </c>
      <c r="D17" s="204">
        <v>0.8888726423897136</v>
      </c>
      <c r="E17" s="204">
        <v>0.7363665508783571</v>
      </c>
      <c r="F17" s="194"/>
      <c r="G17" s="203">
        <v>1084</v>
      </c>
      <c r="H17" s="204">
        <v>0.9839027162014142</v>
      </c>
      <c r="I17" s="204">
        <v>0.7529466498270143</v>
      </c>
      <c r="J17" s="194"/>
      <c r="K17" s="203">
        <v>7813</v>
      </c>
      <c r="L17" s="204">
        <v>0.9539991581827371</v>
      </c>
      <c r="M17" s="204">
        <v>0.9013158897164746</v>
      </c>
      <c r="N17" s="194"/>
      <c r="O17" s="203">
        <v>1306</v>
      </c>
      <c r="P17" s="204">
        <v>1.1102120509267723</v>
      </c>
      <c r="Q17" s="205">
        <v>1.1599773774734037</v>
      </c>
      <c r="R17" s="189"/>
      <c r="S17" s="194"/>
      <c r="T17" s="194"/>
      <c r="U17" s="194"/>
      <c r="V17" s="194"/>
      <c r="W17" s="194"/>
      <c r="X17" s="194"/>
      <c r="Y17" s="194"/>
    </row>
    <row r="18" spans="1:25" s="195" customFormat="1" ht="12.75">
      <c r="A18" s="8"/>
      <c r="B18" s="208" t="s">
        <v>24</v>
      </c>
      <c r="C18" s="209">
        <v>390</v>
      </c>
      <c r="D18" s="214">
        <v>0.756</v>
      </c>
      <c r="E18" s="214">
        <v>0.435</v>
      </c>
      <c r="F18" s="211"/>
      <c r="G18" s="209">
        <v>54</v>
      </c>
      <c r="H18" s="214">
        <v>0.841</v>
      </c>
      <c r="I18" s="214">
        <v>0.508</v>
      </c>
      <c r="J18" s="211"/>
      <c r="K18" s="209">
        <v>869</v>
      </c>
      <c r="L18" s="214">
        <v>0.853</v>
      </c>
      <c r="M18" s="214">
        <v>0.687</v>
      </c>
      <c r="N18" s="211"/>
      <c r="O18" s="209">
        <v>74</v>
      </c>
      <c r="P18" s="214">
        <v>0.943</v>
      </c>
      <c r="Q18" s="215">
        <v>1.325</v>
      </c>
      <c r="R18" s="189"/>
      <c r="S18" s="194"/>
      <c r="T18" s="194"/>
      <c r="U18" s="194"/>
      <c r="V18" s="194"/>
      <c r="W18" s="194"/>
      <c r="X18" s="194"/>
      <c r="Y18" s="194"/>
    </row>
    <row r="19" spans="1:25" s="195" customFormat="1" ht="12.75">
      <c r="A19" s="8"/>
      <c r="B19" s="8"/>
      <c r="C19" s="196"/>
      <c r="D19" s="193"/>
      <c r="E19" s="193"/>
      <c r="G19" s="196"/>
      <c r="H19" s="193"/>
      <c r="I19" s="193"/>
      <c r="J19" s="196"/>
      <c r="K19" s="196"/>
      <c r="L19" s="193"/>
      <c r="M19" s="193"/>
      <c r="O19" s="196"/>
      <c r="P19" s="193"/>
      <c r="Q19" s="193"/>
      <c r="R19" s="189"/>
      <c r="S19" s="194"/>
      <c r="T19" s="194"/>
      <c r="U19" s="194"/>
      <c r="V19" s="194"/>
      <c r="W19" s="194"/>
      <c r="X19" s="194"/>
      <c r="Y19" s="194"/>
    </row>
    <row r="20" spans="1:25" s="195" customFormat="1" ht="12.75">
      <c r="A20" s="8" t="s">
        <v>28</v>
      </c>
      <c r="B20" s="197" t="s">
        <v>29</v>
      </c>
      <c r="C20" s="198">
        <v>791</v>
      </c>
      <c r="D20" s="199">
        <v>0.8336115375714873</v>
      </c>
      <c r="E20" s="199">
        <v>0.4814302929954439</v>
      </c>
      <c r="F20" s="200"/>
      <c r="G20" s="198">
        <v>292</v>
      </c>
      <c r="H20" s="199">
        <v>1.1213635227435348</v>
      </c>
      <c r="I20" s="199">
        <v>0.7232473049233981</v>
      </c>
      <c r="J20" s="200"/>
      <c r="K20" s="198">
        <v>343</v>
      </c>
      <c r="L20" s="199">
        <v>0.598799248641366</v>
      </c>
      <c r="M20" s="199">
        <v>0.5823771941284734</v>
      </c>
      <c r="N20" s="200"/>
      <c r="O20" s="198">
        <v>96</v>
      </c>
      <c r="P20" s="199">
        <v>0.8417806607206568</v>
      </c>
      <c r="Q20" s="201">
        <v>0.36399907234460893</v>
      </c>
      <c r="R20" s="189"/>
      <c r="S20" s="194"/>
      <c r="T20" s="194"/>
      <c r="U20" s="194"/>
      <c r="V20" s="194"/>
      <c r="W20" s="194"/>
      <c r="X20" s="194"/>
      <c r="Y20" s="194"/>
    </row>
    <row r="21" spans="1:25" s="195" customFormat="1" ht="12.75">
      <c r="A21" s="8"/>
      <c r="B21" s="202" t="s">
        <v>30</v>
      </c>
      <c r="C21" s="203">
        <v>1103</v>
      </c>
      <c r="D21" s="204">
        <v>0.8231228107815542</v>
      </c>
      <c r="E21" s="204">
        <v>0.578089673124023</v>
      </c>
      <c r="F21" s="194"/>
      <c r="G21" s="203">
        <v>315</v>
      </c>
      <c r="H21" s="204">
        <v>0.9484845234726388</v>
      </c>
      <c r="I21" s="204">
        <v>0.6696517761265196</v>
      </c>
      <c r="J21" s="194"/>
      <c r="K21" s="203">
        <v>534</v>
      </c>
      <c r="L21" s="204">
        <v>0.6539510577884894</v>
      </c>
      <c r="M21" s="204">
        <v>0.5101741140036141</v>
      </c>
      <c r="N21" s="194"/>
      <c r="O21" s="203">
        <v>155</v>
      </c>
      <c r="P21" s="204">
        <v>1.0077337388020398</v>
      </c>
      <c r="Q21" s="205">
        <v>0.6961562412442468</v>
      </c>
      <c r="R21" s="189"/>
      <c r="S21" s="194"/>
      <c r="T21" s="194"/>
      <c r="U21" s="194"/>
      <c r="V21" s="194"/>
      <c r="W21" s="194"/>
      <c r="X21" s="194"/>
      <c r="Y21" s="194"/>
    </row>
    <row r="22" spans="1:25" s="195" customFormat="1" ht="12.75">
      <c r="A22" s="8"/>
      <c r="B22" s="202" t="s">
        <v>31</v>
      </c>
      <c r="C22" s="203">
        <v>1504</v>
      </c>
      <c r="D22" s="204">
        <v>0.8589393931735992</v>
      </c>
      <c r="E22" s="204">
        <v>0.7174117067076449</v>
      </c>
      <c r="F22" s="194"/>
      <c r="G22" s="203">
        <v>453</v>
      </c>
      <c r="H22" s="204">
        <v>1.1561493529557951</v>
      </c>
      <c r="I22" s="204">
        <v>0.839385172204227</v>
      </c>
      <c r="J22" s="194"/>
      <c r="K22" s="203">
        <v>784</v>
      </c>
      <c r="L22" s="204">
        <v>0.7997785347949161</v>
      </c>
      <c r="M22" s="204">
        <v>0.6185529846095732</v>
      </c>
      <c r="N22" s="194"/>
      <c r="O22" s="203">
        <v>196</v>
      </c>
      <c r="P22" s="204">
        <v>1.1026124320114377</v>
      </c>
      <c r="Q22" s="205">
        <v>0.7621874960074617</v>
      </c>
      <c r="R22" s="189"/>
      <c r="S22" s="194"/>
      <c r="T22" s="194"/>
      <c r="U22" s="194"/>
      <c r="V22" s="194"/>
      <c r="W22" s="194"/>
      <c r="X22" s="194"/>
      <c r="Y22" s="194"/>
    </row>
    <row r="23" spans="1:25" s="195" customFormat="1" ht="12.75">
      <c r="A23" s="8"/>
      <c r="B23" s="202" t="s">
        <v>32</v>
      </c>
      <c r="C23" s="203">
        <v>3277</v>
      </c>
      <c r="D23" s="204">
        <v>0.7797228117050149</v>
      </c>
      <c r="E23" s="204">
        <v>0.6380503105897405</v>
      </c>
      <c r="F23" s="194"/>
      <c r="G23" s="203">
        <v>996</v>
      </c>
      <c r="H23" s="204">
        <v>1.0042417821790843</v>
      </c>
      <c r="I23" s="204">
        <v>0.8127939760499916</v>
      </c>
      <c r="J23" s="194"/>
      <c r="K23" s="203">
        <v>1921</v>
      </c>
      <c r="L23" s="204">
        <v>0.8200014480004578</v>
      </c>
      <c r="M23" s="204">
        <v>0.7851917274205512</v>
      </c>
      <c r="N23" s="194"/>
      <c r="O23" s="203">
        <v>505</v>
      </c>
      <c r="P23" s="204">
        <v>1.096205847053444</v>
      </c>
      <c r="Q23" s="205">
        <v>0.7584785976641306</v>
      </c>
      <c r="R23" s="189"/>
      <c r="S23" s="194"/>
      <c r="T23" s="194"/>
      <c r="U23" s="194"/>
      <c r="V23" s="194"/>
      <c r="W23" s="194"/>
      <c r="X23" s="194"/>
      <c r="Y23" s="194"/>
    </row>
    <row r="24" spans="2:25" s="195" customFormat="1" ht="12.75">
      <c r="B24" s="202" t="s">
        <v>33</v>
      </c>
      <c r="C24" s="203">
        <v>9818</v>
      </c>
      <c r="D24" s="204">
        <v>0.7270446599104874</v>
      </c>
      <c r="E24" s="204">
        <v>0.5843819749053898</v>
      </c>
      <c r="F24" s="194"/>
      <c r="G24" s="203">
        <v>3280</v>
      </c>
      <c r="H24" s="204">
        <v>0.9659367044706567</v>
      </c>
      <c r="I24" s="204">
        <v>0.8000737207751029</v>
      </c>
      <c r="J24" s="194"/>
      <c r="K24" s="203">
        <v>6886</v>
      </c>
      <c r="L24" s="204">
        <v>0.7969494644773754</v>
      </c>
      <c r="M24" s="204">
        <v>0.6649074255026348</v>
      </c>
      <c r="N24" s="194"/>
      <c r="O24" s="203">
        <v>2146</v>
      </c>
      <c r="P24" s="204">
        <v>1.0904597158138893</v>
      </c>
      <c r="Q24" s="205">
        <v>0.9358550262817844</v>
      </c>
      <c r="R24" s="194"/>
      <c r="S24" s="194"/>
      <c r="T24" s="194"/>
      <c r="U24" s="194"/>
      <c r="V24" s="194"/>
      <c r="W24" s="194"/>
      <c r="X24" s="194"/>
      <c r="Y24" s="194"/>
    </row>
    <row r="25" spans="1:25" s="195" customFormat="1" ht="12.75">
      <c r="A25" s="8"/>
      <c r="B25" s="202" t="s">
        <v>34</v>
      </c>
      <c r="C25" s="203">
        <v>15310</v>
      </c>
      <c r="D25" s="204">
        <v>0.7241410890294726</v>
      </c>
      <c r="E25" s="204">
        <v>0.6087055828495881</v>
      </c>
      <c r="F25" s="194"/>
      <c r="G25" s="203">
        <v>5498</v>
      </c>
      <c r="H25" s="204">
        <v>0.955776664004181</v>
      </c>
      <c r="I25" s="204">
        <v>0.8789130355433358</v>
      </c>
      <c r="J25" s="194"/>
      <c r="K25" s="203">
        <v>12343</v>
      </c>
      <c r="L25" s="204">
        <v>0.7355689389571787</v>
      </c>
      <c r="M25" s="204">
        <v>0.6993620465417645</v>
      </c>
      <c r="N25" s="194"/>
      <c r="O25" s="203">
        <v>4616</v>
      </c>
      <c r="P25" s="204">
        <v>0.98387683139234</v>
      </c>
      <c r="Q25" s="205">
        <v>0.8655996019549557</v>
      </c>
      <c r="R25" s="194"/>
      <c r="S25" s="194"/>
      <c r="T25" s="194"/>
      <c r="U25" s="194"/>
      <c r="V25" s="194"/>
      <c r="W25" s="194"/>
      <c r="X25" s="194"/>
      <c r="Y25" s="194"/>
    </row>
    <row r="26" spans="1:25" s="195" customFormat="1" ht="12.75">
      <c r="A26" s="8"/>
      <c r="B26" s="202" t="s">
        <v>35</v>
      </c>
      <c r="C26" s="203">
        <v>26202</v>
      </c>
      <c r="D26" s="204">
        <v>0.7264421167710936</v>
      </c>
      <c r="E26" s="204">
        <v>0.6480785834944874</v>
      </c>
      <c r="F26" s="194"/>
      <c r="G26" s="203">
        <v>10707</v>
      </c>
      <c r="H26" s="204">
        <v>0.9104218300567241</v>
      </c>
      <c r="I26" s="204">
        <v>0.7978232380946949</v>
      </c>
      <c r="J26" s="194"/>
      <c r="K26" s="203">
        <v>16509</v>
      </c>
      <c r="L26" s="204">
        <v>0.7060758179115304</v>
      </c>
      <c r="M26" s="204">
        <v>0.6558569102991534</v>
      </c>
      <c r="N26" s="194"/>
      <c r="O26" s="203">
        <v>8874</v>
      </c>
      <c r="P26" s="204">
        <v>0.9108841650501767</v>
      </c>
      <c r="Q26" s="205">
        <v>0.8103849935988726</v>
      </c>
      <c r="R26" s="194"/>
      <c r="S26" s="194"/>
      <c r="T26" s="194"/>
      <c r="U26" s="194"/>
      <c r="V26" s="194"/>
      <c r="W26" s="194"/>
      <c r="X26" s="194"/>
      <c r="Y26" s="194"/>
    </row>
    <row r="27" spans="1:25" s="195" customFormat="1" ht="12.75">
      <c r="A27" s="8"/>
      <c r="B27" s="208" t="s">
        <v>36</v>
      </c>
      <c r="C27" s="209">
        <v>21596</v>
      </c>
      <c r="D27" s="214">
        <v>0.7418426541542061</v>
      </c>
      <c r="E27" s="214">
        <v>0.6537412270578482</v>
      </c>
      <c r="F27" s="211"/>
      <c r="G27" s="209">
        <v>9754</v>
      </c>
      <c r="H27" s="214">
        <v>0.920382572595062</v>
      </c>
      <c r="I27" s="214">
        <v>0.8265619462186637</v>
      </c>
      <c r="J27" s="211"/>
      <c r="K27" s="209">
        <v>12701</v>
      </c>
      <c r="L27" s="214">
        <v>0.7709943048257546</v>
      </c>
      <c r="M27" s="214">
        <v>0.6819486605785549</v>
      </c>
      <c r="N27" s="211"/>
      <c r="O27" s="209">
        <v>6955</v>
      </c>
      <c r="P27" s="214">
        <v>0.9216255758854532</v>
      </c>
      <c r="Q27" s="215">
        <v>0.8329957975855767</v>
      </c>
      <c r="R27" s="194"/>
      <c r="S27" s="194"/>
      <c r="T27" s="194"/>
      <c r="U27" s="194"/>
      <c r="V27" s="194"/>
      <c r="W27" s="194"/>
      <c r="X27" s="194"/>
      <c r="Y27" s="194"/>
    </row>
    <row r="28" spans="1:25" s="195" customFormat="1" ht="12.75">
      <c r="A28" s="8"/>
      <c r="B28" s="8"/>
      <c r="C28" s="196"/>
      <c r="D28" s="193"/>
      <c r="E28" s="193"/>
      <c r="G28" s="196"/>
      <c r="H28" s="193"/>
      <c r="I28" s="193"/>
      <c r="K28" s="196"/>
      <c r="L28" s="193"/>
      <c r="M28" s="193"/>
      <c r="O28" s="196"/>
      <c r="P28" s="193"/>
      <c r="Q28" s="193"/>
      <c r="R28" s="194"/>
      <c r="S28" s="194"/>
      <c r="T28" s="194"/>
      <c r="U28" s="194"/>
      <c r="V28" s="194"/>
      <c r="W28" s="194"/>
      <c r="X28" s="194"/>
      <c r="Y28" s="194"/>
    </row>
    <row r="29" spans="1:25" s="195" customFormat="1" ht="12.75">
      <c r="A29" s="12" t="s">
        <v>59</v>
      </c>
      <c r="B29" s="216" t="s">
        <v>38</v>
      </c>
      <c r="C29" s="198">
        <v>6457</v>
      </c>
      <c r="D29" s="199">
        <v>0.9136286981955001</v>
      </c>
      <c r="E29" s="199">
        <v>0.9029383917741332</v>
      </c>
      <c r="F29" s="200"/>
      <c r="G29" s="198">
        <v>4001</v>
      </c>
      <c r="H29" s="199">
        <v>1.0711387038630502</v>
      </c>
      <c r="I29" s="199">
        <v>1.0564568687523508</v>
      </c>
      <c r="J29" s="200"/>
      <c r="K29" s="198">
        <v>12637</v>
      </c>
      <c r="L29" s="199">
        <v>0.8823568553877003</v>
      </c>
      <c r="M29" s="199">
        <v>0.8759343991300844</v>
      </c>
      <c r="N29" s="200"/>
      <c r="O29" s="198">
        <v>8489</v>
      </c>
      <c r="P29" s="199">
        <v>1.029640490900858</v>
      </c>
      <c r="Q29" s="201">
        <v>1.0432118969652517</v>
      </c>
      <c r="R29" s="194"/>
      <c r="S29" s="194"/>
      <c r="T29" s="194"/>
      <c r="U29" s="194"/>
      <c r="V29" s="194"/>
      <c r="W29" s="194"/>
      <c r="X29" s="194"/>
      <c r="Y29" s="194"/>
    </row>
    <row r="30" spans="1:25" s="195" customFormat="1" ht="25.5">
      <c r="A30" s="8"/>
      <c r="B30" s="217" t="s">
        <v>39</v>
      </c>
      <c r="C30" s="203">
        <v>13052</v>
      </c>
      <c r="D30" s="204">
        <v>0.8607461477430444</v>
      </c>
      <c r="E30" s="204">
        <v>0.8510325271431793</v>
      </c>
      <c r="F30" s="194"/>
      <c r="G30" s="203">
        <v>7744</v>
      </c>
      <c r="H30" s="204">
        <v>1.0428232681837704</v>
      </c>
      <c r="I30" s="204">
        <v>1.015403703892582</v>
      </c>
      <c r="J30" s="194"/>
      <c r="K30" s="203">
        <v>12547</v>
      </c>
      <c r="L30" s="204">
        <v>0.786470955994597</v>
      </c>
      <c r="M30" s="204">
        <v>0.7840258018303395</v>
      </c>
      <c r="N30" s="194"/>
      <c r="O30" s="203">
        <v>7066</v>
      </c>
      <c r="P30" s="204">
        <v>0.9950940132954262</v>
      </c>
      <c r="Q30" s="205">
        <v>0.9829261674245988</v>
      </c>
      <c r="R30" s="194"/>
      <c r="S30" s="194"/>
      <c r="T30" s="194"/>
      <c r="U30" s="194"/>
      <c r="V30" s="194"/>
      <c r="W30" s="194"/>
      <c r="X30" s="194"/>
      <c r="Y30" s="194"/>
    </row>
    <row r="31" spans="1:25" s="195" customFormat="1" ht="25.5">
      <c r="A31" s="8"/>
      <c r="B31" s="217" t="s">
        <v>40</v>
      </c>
      <c r="C31" s="203">
        <v>14851</v>
      </c>
      <c r="D31" s="204">
        <v>0.7862530843650808</v>
      </c>
      <c r="E31" s="204">
        <v>0.7822823328860035</v>
      </c>
      <c r="F31" s="194"/>
      <c r="G31" s="203">
        <v>6711</v>
      </c>
      <c r="H31" s="204">
        <v>0.9711680340257177</v>
      </c>
      <c r="I31" s="204">
        <v>0.9682880158971168</v>
      </c>
      <c r="J31" s="194"/>
      <c r="K31" s="203">
        <v>8479</v>
      </c>
      <c r="L31" s="204">
        <v>0.7353721134756198</v>
      </c>
      <c r="M31" s="204">
        <v>0.735657433027191</v>
      </c>
      <c r="N31" s="194"/>
      <c r="O31" s="203">
        <v>3272</v>
      </c>
      <c r="P31" s="204">
        <v>0.8789589215109531</v>
      </c>
      <c r="Q31" s="205">
        <v>0.8696186308259227</v>
      </c>
      <c r="R31" s="194"/>
      <c r="S31" s="194"/>
      <c r="T31" s="194"/>
      <c r="U31" s="194"/>
      <c r="V31" s="194"/>
      <c r="W31" s="194"/>
      <c r="X31" s="194"/>
      <c r="Y31" s="194"/>
    </row>
    <row r="32" spans="1:25" s="195" customFormat="1" ht="25.5">
      <c r="A32" s="8"/>
      <c r="B32" s="217" t="s">
        <v>41</v>
      </c>
      <c r="C32" s="203">
        <v>18893</v>
      </c>
      <c r="D32" s="204">
        <v>0.7365062684008478</v>
      </c>
      <c r="E32" s="204">
        <v>0.7347818047626645</v>
      </c>
      <c r="F32" s="194"/>
      <c r="G32" s="203">
        <v>6873</v>
      </c>
      <c r="H32" s="204">
        <v>0.8731687293186919</v>
      </c>
      <c r="I32" s="204">
        <v>0.8691069370142802</v>
      </c>
      <c r="J32" s="194"/>
      <c r="K32" s="203">
        <v>8470</v>
      </c>
      <c r="L32" s="204">
        <v>0.6686502691348238</v>
      </c>
      <c r="M32" s="204">
        <v>0.6723583756722581</v>
      </c>
      <c r="N32" s="194"/>
      <c r="O32" s="203">
        <v>2776</v>
      </c>
      <c r="P32" s="204">
        <v>0.8325273947322794</v>
      </c>
      <c r="Q32" s="205">
        <v>0.8313814000649227</v>
      </c>
      <c r="R32" s="194"/>
      <c r="S32" s="194"/>
      <c r="T32" s="194"/>
      <c r="U32" s="194"/>
      <c r="V32" s="194"/>
      <c r="W32" s="194"/>
      <c r="X32" s="194"/>
      <c r="Y32" s="194"/>
    </row>
    <row r="33" spans="2:25" s="195" customFormat="1" ht="25.5" customHeight="1">
      <c r="B33" s="217" t="s">
        <v>42</v>
      </c>
      <c r="C33" s="203">
        <v>17741</v>
      </c>
      <c r="D33" s="204">
        <v>0.6621486666831179</v>
      </c>
      <c r="E33" s="204">
        <v>0.6539887363758273</v>
      </c>
      <c r="F33" s="194"/>
      <c r="G33" s="203">
        <v>4726</v>
      </c>
      <c r="H33" s="204">
        <v>0.8173677566247867</v>
      </c>
      <c r="I33" s="204">
        <v>0.8113592831441919</v>
      </c>
      <c r="J33" s="194"/>
      <c r="K33" s="203">
        <v>7165</v>
      </c>
      <c r="L33" s="204">
        <v>0.6478391762798773</v>
      </c>
      <c r="M33" s="204">
        <v>0.6439747301712891</v>
      </c>
      <c r="N33" s="194"/>
      <c r="O33" s="203">
        <v>1553</v>
      </c>
      <c r="P33" s="204">
        <v>0.788607891258436</v>
      </c>
      <c r="Q33" s="205">
        <v>0.7933577819683889</v>
      </c>
      <c r="R33" s="194"/>
      <c r="S33" s="194"/>
      <c r="T33" s="194"/>
      <c r="U33" s="194"/>
      <c r="V33" s="194"/>
      <c r="W33" s="194"/>
      <c r="X33" s="194"/>
      <c r="Y33" s="194"/>
    </row>
    <row r="34" spans="1:25" s="195" customFormat="1" ht="25.5">
      <c r="A34" s="8"/>
      <c r="B34" s="217" t="s">
        <v>43</v>
      </c>
      <c r="C34" s="203">
        <v>4822</v>
      </c>
      <c r="D34" s="204">
        <v>0.5978004558294319</v>
      </c>
      <c r="E34" s="204">
        <v>0.5954513631621864</v>
      </c>
      <c r="F34" s="194"/>
      <c r="G34" s="203">
        <v>819</v>
      </c>
      <c r="H34" s="204">
        <v>0.727492675707667</v>
      </c>
      <c r="I34" s="204">
        <v>0.7251963534039368</v>
      </c>
      <c r="J34" s="194"/>
      <c r="K34" s="203">
        <v>1618</v>
      </c>
      <c r="L34" s="204">
        <v>0.5859480219633117</v>
      </c>
      <c r="M34" s="204">
        <v>0.5919467601695318</v>
      </c>
      <c r="N34" s="194"/>
      <c r="O34" s="203">
        <v>239</v>
      </c>
      <c r="P34" s="204">
        <v>0.7639956409413491</v>
      </c>
      <c r="Q34" s="205">
        <v>0.7891936017651892</v>
      </c>
      <c r="R34" s="194"/>
      <c r="S34" s="194"/>
      <c r="T34" s="194"/>
      <c r="U34" s="194"/>
      <c r="V34" s="194"/>
      <c r="W34" s="194"/>
      <c r="X34" s="194"/>
      <c r="Y34" s="194"/>
    </row>
    <row r="35" spans="1:25" s="195" customFormat="1" ht="25.5">
      <c r="A35" s="8"/>
      <c r="B35" s="217" t="s">
        <v>44</v>
      </c>
      <c r="C35" s="203">
        <v>2368</v>
      </c>
      <c r="D35" s="204">
        <v>0.5887171995671399</v>
      </c>
      <c r="E35" s="204">
        <v>0.5823601441534528</v>
      </c>
      <c r="F35" s="194"/>
      <c r="G35" s="203">
        <v>282</v>
      </c>
      <c r="H35" s="204">
        <v>0.6567454476303675</v>
      </c>
      <c r="I35" s="204">
        <v>0.6643000189992389</v>
      </c>
      <c r="J35" s="194"/>
      <c r="K35" s="203">
        <v>654</v>
      </c>
      <c r="L35" s="204">
        <v>0.5991112761343967</v>
      </c>
      <c r="M35" s="204">
        <v>0.6101527961076704</v>
      </c>
      <c r="N35" s="194"/>
      <c r="O35" s="203">
        <v>90</v>
      </c>
      <c r="P35" s="204">
        <v>0.8461505555683515</v>
      </c>
      <c r="Q35" s="205">
        <v>0.8589932483670427</v>
      </c>
      <c r="R35" s="194"/>
      <c r="S35" s="194"/>
      <c r="T35" s="194"/>
      <c r="U35" s="194"/>
      <c r="V35" s="194"/>
      <c r="W35" s="194"/>
      <c r="X35" s="194"/>
      <c r="Y35" s="194"/>
    </row>
    <row r="36" spans="1:25" s="195" customFormat="1" ht="25.5">
      <c r="A36" s="8"/>
      <c r="B36" s="217" t="s">
        <v>45</v>
      </c>
      <c r="C36" s="203">
        <v>1232</v>
      </c>
      <c r="D36" s="204">
        <v>0.589979474460835</v>
      </c>
      <c r="E36" s="204">
        <v>0.5852505952325534</v>
      </c>
      <c r="F36" s="194"/>
      <c r="G36" s="203">
        <v>117</v>
      </c>
      <c r="H36" s="204">
        <v>0.6586605816186775</v>
      </c>
      <c r="I36" s="204">
        <v>0.6480577857946628</v>
      </c>
      <c r="J36" s="194"/>
      <c r="K36" s="203">
        <v>378</v>
      </c>
      <c r="L36" s="204">
        <v>0.7519637443664529</v>
      </c>
      <c r="M36" s="204">
        <v>0.7581100258135595</v>
      </c>
      <c r="N36" s="194"/>
      <c r="O36" s="203">
        <v>51</v>
      </c>
      <c r="P36" s="204">
        <v>0.9555690376145699</v>
      </c>
      <c r="Q36" s="205">
        <v>0.8604322822106304</v>
      </c>
      <c r="R36" s="194"/>
      <c r="S36" s="194"/>
      <c r="T36" s="194"/>
      <c r="U36" s="194"/>
      <c r="V36" s="194"/>
      <c r="W36" s="194"/>
      <c r="X36" s="194"/>
      <c r="Y36" s="194"/>
    </row>
    <row r="37" spans="1:25" s="195" customFormat="1" ht="25.5">
      <c r="A37" s="8"/>
      <c r="B37" s="217" t="s">
        <v>46</v>
      </c>
      <c r="C37" s="203">
        <v>124</v>
      </c>
      <c r="D37" s="204">
        <v>0.5945685491745788</v>
      </c>
      <c r="E37" s="204">
        <v>0.5934510329245701</v>
      </c>
      <c r="F37" s="194"/>
      <c r="G37" s="203">
        <v>13</v>
      </c>
      <c r="H37" s="204">
        <v>0.7123861483637313</v>
      </c>
      <c r="I37" s="204">
        <v>0.7129827511912227</v>
      </c>
      <c r="J37" s="194"/>
      <c r="K37" s="203">
        <v>43</v>
      </c>
      <c r="L37" s="204">
        <v>0.7486279651543257</v>
      </c>
      <c r="M37" s="204">
        <v>0.7672864742427706</v>
      </c>
      <c r="N37" s="194"/>
      <c r="O37" s="203">
        <v>6</v>
      </c>
      <c r="P37" s="204">
        <v>0.8763653041133669</v>
      </c>
      <c r="Q37" s="205">
        <v>0.8492450434362904</v>
      </c>
      <c r="R37" s="194"/>
      <c r="S37" s="194"/>
      <c r="T37" s="194"/>
      <c r="U37" s="194"/>
      <c r="V37" s="194"/>
      <c r="W37" s="194"/>
      <c r="X37" s="194"/>
      <c r="Y37" s="194"/>
    </row>
    <row r="38" spans="1:25" s="195" customFormat="1" ht="12.75">
      <c r="A38" s="8"/>
      <c r="B38" s="218" t="s">
        <v>47</v>
      </c>
      <c r="C38" s="209">
        <v>61</v>
      </c>
      <c r="D38" s="214">
        <v>0.51138995370244</v>
      </c>
      <c r="E38" s="214">
        <v>0.43192002579766464</v>
      </c>
      <c r="F38" s="211"/>
      <c r="G38" s="209">
        <v>9</v>
      </c>
      <c r="H38" s="214">
        <v>1.3732155826401133</v>
      </c>
      <c r="I38" s="214">
        <v>1.4705931118763507</v>
      </c>
      <c r="J38" s="211"/>
      <c r="K38" s="209">
        <v>30</v>
      </c>
      <c r="L38" s="214">
        <v>0.714168556634399</v>
      </c>
      <c r="M38" s="214">
        <v>0.6917807198519779</v>
      </c>
      <c r="N38" s="211"/>
      <c r="O38" s="209">
        <v>1</v>
      </c>
      <c r="P38" s="214">
        <v>0.2966962868459701</v>
      </c>
      <c r="Q38" s="215">
        <v>0.25616996510948253</v>
      </c>
      <c r="R38" s="194"/>
      <c r="S38" s="194"/>
      <c r="T38" s="194"/>
      <c r="U38" s="194"/>
      <c r="V38" s="194"/>
      <c r="W38" s="194"/>
      <c r="X38" s="194"/>
      <c r="Y38" s="194"/>
    </row>
    <row r="39" spans="1:25" s="195" customFormat="1" ht="12.75">
      <c r="A39" s="8"/>
      <c r="B39" s="37"/>
      <c r="C39" s="203"/>
      <c r="D39" s="204"/>
      <c r="E39" s="204"/>
      <c r="F39" s="194"/>
      <c r="G39" s="203"/>
      <c r="H39" s="204"/>
      <c r="I39" s="204"/>
      <c r="J39" s="194"/>
      <c r="K39" s="203"/>
      <c r="L39" s="204"/>
      <c r="M39" s="204"/>
      <c r="N39" s="194"/>
      <c r="O39" s="203"/>
      <c r="P39" s="204"/>
      <c r="Q39" s="204"/>
      <c r="R39" s="194"/>
      <c r="S39" s="194"/>
      <c r="T39" s="194"/>
      <c r="U39" s="194"/>
      <c r="V39" s="194"/>
      <c r="W39" s="194"/>
      <c r="X39" s="194"/>
      <c r="Y39" s="194"/>
    </row>
    <row r="40" spans="1:25" s="195" customFormat="1" ht="12.75">
      <c r="A40" s="8" t="s">
        <v>207</v>
      </c>
      <c r="B40" s="216">
        <v>2006</v>
      </c>
      <c r="C40" s="198">
        <v>40910</v>
      </c>
      <c r="D40" s="199">
        <v>0.7452484247906547</v>
      </c>
      <c r="E40" s="199">
        <v>0.6266905839271587</v>
      </c>
      <c r="F40" s="200"/>
      <c r="G40" s="198">
        <v>16793</v>
      </c>
      <c r="H40" s="199">
        <v>0.9329846483079448</v>
      </c>
      <c r="I40" s="199">
        <v>0.8290597023009965</v>
      </c>
      <c r="J40" s="200"/>
      <c r="K40" s="198">
        <v>26479</v>
      </c>
      <c r="L40" s="199">
        <v>0.7516224663237588</v>
      </c>
      <c r="M40" s="199">
        <v>0.6632312119354625</v>
      </c>
      <c r="N40" s="200"/>
      <c r="O40" s="198">
        <v>12281</v>
      </c>
      <c r="P40" s="199">
        <v>0.9402301151538257</v>
      </c>
      <c r="Q40" s="201">
        <v>0.8329400679940885</v>
      </c>
      <c r="R40" s="194"/>
      <c r="S40" s="194"/>
      <c r="T40" s="194"/>
      <c r="U40" s="194"/>
      <c r="V40" s="194"/>
      <c r="W40" s="194"/>
      <c r="X40" s="194"/>
      <c r="Y40" s="194"/>
    </row>
    <row r="41" spans="1:25" s="195" customFormat="1" ht="12.75">
      <c r="A41" s="8"/>
      <c r="B41" s="218">
        <v>2007</v>
      </c>
      <c r="C41" s="209">
        <v>38691</v>
      </c>
      <c r="D41" s="214">
        <v>0.727619926854311</v>
      </c>
      <c r="E41" s="214">
        <v>0.6145783810482127</v>
      </c>
      <c r="F41" s="211"/>
      <c r="G41" s="209">
        <v>14502</v>
      </c>
      <c r="H41" s="214">
        <v>0.9366281162538636</v>
      </c>
      <c r="I41" s="214">
        <v>0.7998759923815748</v>
      </c>
      <c r="J41" s="211"/>
      <c r="K41" s="209">
        <v>25542</v>
      </c>
      <c r="L41" s="214">
        <v>0.7348366403169905</v>
      </c>
      <c r="M41" s="214">
        <v>0.6783227968020346</v>
      </c>
      <c r="N41" s="211"/>
      <c r="O41" s="209">
        <v>11262</v>
      </c>
      <c r="P41" s="214">
        <v>0.954985377784915</v>
      </c>
      <c r="Q41" s="215">
        <v>0.8299185907212457</v>
      </c>
      <c r="R41" s="194"/>
      <c r="S41" s="194"/>
      <c r="T41" s="194"/>
      <c r="U41" s="194"/>
      <c r="V41" s="194"/>
      <c r="W41" s="194"/>
      <c r="X41" s="194"/>
      <c r="Y41" s="194"/>
    </row>
    <row r="42" spans="1:25" s="195" customFormat="1" ht="12.75">
      <c r="A42" s="8"/>
      <c r="B42" s="8"/>
      <c r="C42" s="196"/>
      <c r="D42" s="193"/>
      <c r="E42" s="193"/>
      <c r="G42" s="196"/>
      <c r="H42" s="193"/>
      <c r="I42" s="193"/>
      <c r="K42" s="196"/>
      <c r="L42" s="193"/>
      <c r="M42" s="193"/>
      <c r="N42" s="196"/>
      <c r="O42" s="196"/>
      <c r="P42" s="193"/>
      <c r="Q42" s="193"/>
      <c r="R42" s="194"/>
      <c r="S42" s="194"/>
      <c r="T42" s="194"/>
      <c r="U42" s="194"/>
      <c r="V42" s="194"/>
      <c r="W42" s="194"/>
      <c r="X42" s="194"/>
      <c r="Y42" s="194"/>
    </row>
    <row r="43" spans="1:25" s="195" customFormat="1" ht="18" hidden="1">
      <c r="A43" s="8"/>
      <c r="B43" s="8"/>
      <c r="C43" s="9" t="s">
        <v>0</v>
      </c>
      <c r="D43" s="190"/>
      <c r="E43" s="190"/>
      <c r="F43" s="191"/>
      <c r="G43" s="192"/>
      <c r="H43" s="190"/>
      <c r="I43" s="190"/>
      <c r="J43" s="191"/>
      <c r="K43" s="192"/>
      <c r="L43" s="190"/>
      <c r="M43" s="190"/>
      <c r="N43" s="191"/>
      <c r="O43" s="192"/>
      <c r="P43" s="190"/>
      <c r="Q43" s="190"/>
      <c r="R43" s="194"/>
      <c r="S43" s="194"/>
      <c r="T43" s="194"/>
      <c r="U43" s="194"/>
      <c r="V43" s="194"/>
      <c r="W43" s="194"/>
      <c r="X43" s="194"/>
      <c r="Y43" s="194"/>
    </row>
    <row r="44" spans="1:17" s="194" customFormat="1" ht="15.75" hidden="1">
      <c r="A44" s="1" t="s">
        <v>207</v>
      </c>
      <c r="B44" s="8"/>
      <c r="C44" s="10" t="s">
        <v>1</v>
      </c>
      <c r="D44" s="190"/>
      <c r="E44" s="190"/>
      <c r="F44" s="191"/>
      <c r="G44" s="192"/>
      <c r="H44" s="190"/>
      <c r="I44" s="190"/>
      <c r="J44" s="191"/>
      <c r="K44" s="192"/>
      <c r="L44" s="190"/>
      <c r="M44" s="190"/>
      <c r="N44" s="191"/>
      <c r="O44" s="192"/>
      <c r="P44" s="190"/>
      <c r="Q44" s="190"/>
    </row>
    <row r="45" spans="1:25" s="195" customFormat="1" ht="12.75" hidden="1">
      <c r="A45" s="8"/>
      <c r="B45" s="8"/>
      <c r="C45" s="219" t="s">
        <v>58</v>
      </c>
      <c r="D45" s="190"/>
      <c r="E45" s="190"/>
      <c r="F45" s="191"/>
      <c r="G45" s="192"/>
      <c r="H45" s="190"/>
      <c r="I45" s="190"/>
      <c r="J45" s="191"/>
      <c r="K45" s="192"/>
      <c r="L45" s="190"/>
      <c r="M45" s="190"/>
      <c r="N45" s="191"/>
      <c r="O45" s="192"/>
      <c r="P45" s="190"/>
      <c r="Q45" s="190"/>
      <c r="R45" s="194"/>
      <c r="S45" s="194"/>
      <c r="T45" s="194"/>
      <c r="U45" s="194"/>
      <c r="V45" s="194"/>
      <c r="W45" s="194"/>
      <c r="X45" s="194"/>
      <c r="Y45" s="194"/>
    </row>
    <row r="46" spans="1:25" s="195" customFormat="1" ht="12.75" hidden="1">
      <c r="A46" s="8"/>
      <c r="B46" s="8"/>
      <c r="C46" s="219"/>
      <c r="D46" s="190"/>
      <c r="E46" s="190"/>
      <c r="F46" s="191"/>
      <c r="G46" s="192"/>
      <c r="H46" s="190"/>
      <c r="I46" s="190"/>
      <c r="J46" s="191"/>
      <c r="K46" s="192"/>
      <c r="L46" s="190"/>
      <c r="M46" s="190"/>
      <c r="N46" s="191"/>
      <c r="O46" s="192"/>
      <c r="P46" s="190"/>
      <c r="Q46" s="190"/>
      <c r="R46" s="194"/>
      <c r="S46" s="194"/>
      <c r="T46" s="194"/>
      <c r="U46" s="194"/>
      <c r="V46" s="194"/>
      <c r="W46" s="194"/>
      <c r="X46" s="194"/>
      <c r="Y46" s="194"/>
    </row>
    <row r="47" spans="3:17" ht="15.75" hidden="1">
      <c r="C47" s="673" t="s">
        <v>132</v>
      </c>
      <c r="D47" s="673"/>
      <c r="E47" s="673"/>
      <c r="F47" s="191"/>
      <c r="G47" s="673" t="s">
        <v>67</v>
      </c>
      <c r="H47" s="673"/>
      <c r="I47" s="673"/>
      <c r="J47" s="191"/>
      <c r="K47" s="673" t="s">
        <v>130</v>
      </c>
      <c r="L47" s="673"/>
      <c r="M47" s="673"/>
      <c r="O47" s="673" t="s">
        <v>68</v>
      </c>
      <c r="P47" s="673"/>
      <c r="Q47" s="673"/>
    </row>
    <row r="48" spans="2:17" ht="38.25" hidden="1">
      <c r="B48" s="12"/>
      <c r="C48" s="13" t="s">
        <v>2</v>
      </c>
      <c r="D48" s="2" t="s">
        <v>69</v>
      </c>
      <c r="E48" s="2" t="s">
        <v>70</v>
      </c>
      <c r="F48" s="12"/>
      <c r="G48" s="13" t="s">
        <v>2</v>
      </c>
      <c r="H48" s="2" t="s">
        <v>69</v>
      </c>
      <c r="I48" s="2" t="s">
        <v>70</v>
      </c>
      <c r="J48" s="12"/>
      <c r="K48" s="13" t="s">
        <v>2</v>
      </c>
      <c r="L48" s="2" t="s">
        <v>69</v>
      </c>
      <c r="M48" s="2" t="s">
        <v>70</v>
      </c>
      <c r="N48" s="12"/>
      <c r="O48" s="13" t="s">
        <v>2</v>
      </c>
      <c r="P48" s="2" t="s">
        <v>69</v>
      </c>
      <c r="Q48" s="2" t="s">
        <v>70</v>
      </c>
    </row>
    <row r="49" spans="1:25" s="195" customFormat="1" ht="25.5" hidden="1">
      <c r="A49" s="8"/>
      <c r="B49" s="5" t="s">
        <v>60</v>
      </c>
      <c r="C49" s="198">
        <v>1821</v>
      </c>
      <c r="D49" s="199">
        <v>0.5721496271817574</v>
      </c>
      <c r="E49" s="199">
        <v>0.5091696413320514</v>
      </c>
      <c r="F49" s="200"/>
      <c r="G49" s="198">
        <v>456</v>
      </c>
      <c r="H49" s="199">
        <v>0.7822767892153236</v>
      </c>
      <c r="I49" s="199">
        <v>0.7672495135295191</v>
      </c>
      <c r="J49" s="200"/>
      <c r="K49" s="198">
        <v>843</v>
      </c>
      <c r="L49" s="199">
        <v>0.5588619369458775</v>
      </c>
      <c r="M49" s="199">
        <v>0.5318611490882816</v>
      </c>
      <c r="N49" s="200"/>
      <c r="O49" s="198">
        <v>160</v>
      </c>
      <c r="P49" s="199">
        <v>0.8673826046299377</v>
      </c>
      <c r="Q49" s="199">
        <v>0.852789273519314</v>
      </c>
      <c r="R49" s="194"/>
      <c r="S49" s="194"/>
      <c r="T49" s="194"/>
      <c r="U49" s="194"/>
      <c r="V49" s="194"/>
      <c r="W49" s="194"/>
      <c r="X49" s="194"/>
      <c r="Y49" s="194"/>
    </row>
    <row r="50" spans="1:25" s="195" customFormat="1" ht="15.75" customHeight="1" hidden="1">
      <c r="A50" s="8"/>
      <c r="B50" s="16" t="s">
        <v>61</v>
      </c>
      <c r="C50" s="203">
        <v>979</v>
      </c>
      <c r="D50" s="204">
        <v>0.6905641904357145</v>
      </c>
      <c r="E50" s="204">
        <v>0.6028460239290402</v>
      </c>
      <c r="F50" s="220"/>
      <c r="G50" s="203" t="s">
        <v>71</v>
      </c>
      <c r="H50" s="203" t="s">
        <v>71</v>
      </c>
      <c r="I50" s="203" t="s">
        <v>71</v>
      </c>
      <c r="J50" s="220"/>
      <c r="K50" s="203">
        <v>292</v>
      </c>
      <c r="L50" s="204">
        <v>0.6416638833213865</v>
      </c>
      <c r="M50" s="204">
        <v>0.5877179962763636</v>
      </c>
      <c r="N50" s="220"/>
      <c r="O50" s="203" t="s">
        <v>71</v>
      </c>
      <c r="P50" s="203" t="s">
        <v>71</v>
      </c>
      <c r="Q50" s="203" t="s">
        <v>71</v>
      </c>
      <c r="R50" s="194"/>
      <c r="S50" s="194"/>
      <c r="T50" s="194"/>
      <c r="U50" s="194"/>
      <c r="V50" s="194"/>
      <c r="W50" s="194"/>
      <c r="X50" s="194"/>
      <c r="Y50" s="194"/>
    </row>
    <row r="51" spans="2:17" ht="38.25" hidden="1">
      <c r="B51" s="6" t="s">
        <v>62</v>
      </c>
      <c r="C51" s="209">
        <v>2050</v>
      </c>
      <c r="D51" s="214">
        <v>0.8316016257148124</v>
      </c>
      <c r="E51" s="214">
        <v>0.8104878826422252</v>
      </c>
      <c r="F51" s="222"/>
      <c r="G51" s="209">
        <v>365</v>
      </c>
      <c r="H51" s="214">
        <v>1.0863578311677247</v>
      </c>
      <c r="I51" s="214">
        <v>1.0124875950487189</v>
      </c>
      <c r="J51" s="222"/>
      <c r="K51" s="209">
        <v>866</v>
      </c>
      <c r="L51" s="214">
        <v>0.8139961528925101</v>
      </c>
      <c r="M51" s="214">
        <v>0.813152259990507</v>
      </c>
      <c r="N51" s="222"/>
      <c r="O51" s="209">
        <v>103</v>
      </c>
      <c r="P51" s="214">
        <v>0.8851350606964611</v>
      </c>
      <c r="Q51" s="214">
        <v>1.0366204847400522</v>
      </c>
    </row>
    <row r="52" spans="2:25" s="12" customFormat="1" ht="39.75" customHeight="1" hidden="1">
      <c r="B52" s="8"/>
      <c r="C52" s="196"/>
      <c r="D52" s="193"/>
      <c r="E52" s="193"/>
      <c r="F52" s="195"/>
      <c r="G52" s="196"/>
      <c r="H52" s="193"/>
      <c r="I52" s="193"/>
      <c r="J52" s="195"/>
      <c r="K52" s="196"/>
      <c r="L52" s="193"/>
      <c r="M52" s="193"/>
      <c r="N52" s="195"/>
      <c r="O52" s="196"/>
      <c r="P52" s="193"/>
      <c r="Q52" s="193"/>
      <c r="R52" s="47"/>
      <c r="S52" s="47"/>
      <c r="T52" s="47"/>
      <c r="U52" s="47"/>
      <c r="V52" s="47"/>
      <c r="W52" s="47"/>
      <c r="X52" s="47"/>
      <c r="Y52" s="47"/>
    </row>
    <row r="53" spans="1:25" s="195" customFormat="1" ht="25.5" customHeight="1" hidden="1">
      <c r="A53" s="15" t="s">
        <v>66</v>
      </c>
      <c r="B53" s="8"/>
      <c r="C53" s="196"/>
      <c r="D53" s="193"/>
      <c r="E53" s="193"/>
      <c r="G53" s="196"/>
      <c r="H53" s="193"/>
      <c r="I53" s="193"/>
      <c r="K53" s="196"/>
      <c r="L53" s="193"/>
      <c r="M53" s="193"/>
      <c r="O53" s="196"/>
      <c r="P53" s="193"/>
      <c r="Q53" s="193"/>
      <c r="R53" s="194"/>
      <c r="S53" s="194"/>
      <c r="T53" s="194"/>
      <c r="U53" s="194"/>
      <c r="V53" s="194"/>
      <c r="W53" s="194"/>
      <c r="X53" s="194"/>
      <c r="Y53" s="194"/>
    </row>
    <row r="54" spans="1:25" s="221" customFormat="1" ht="25.5" customHeight="1" hidden="1">
      <c r="A54" s="12"/>
      <c r="B54" s="8"/>
      <c r="C54" s="196"/>
      <c r="D54" s="193"/>
      <c r="E54" s="193"/>
      <c r="F54" s="195"/>
      <c r="G54" s="196"/>
      <c r="H54" s="193"/>
      <c r="I54" s="193"/>
      <c r="J54" s="195"/>
      <c r="K54" s="196"/>
      <c r="L54" s="193"/>
      <c r="M54" s="193"/>
      <c r="N54" s="195"/>
      <c r="O54" s="196"/>
      <c r="P54" s="193"/>
      <c r="Q54" s="193"/>
      <c r="R54" s="220"/>
      <c r="S54" s="220"/>
      <c r="T54" s="220"/>
      <c r="U54" s="220"/>
      <c r="V54" s="220"/>
      <c r="W54" s="220"/>
      <c r="X54" s="220"/>
      <c r="Y54" s="220"/>
    </row>
    <row r="55" spans="1:25" s="221" customFormat="1" ht="39.75" customHeight="1" hidden="1">
      <c r="A55" s="12"/>
      <c r="B55" s="8"/>
      <c r="C55" s="196"/>
      <c r="D55" s="193"/>
      <c r="E55" s="193"/>
      <c r="F55" s="195"/>
      <c r="G55" s="196"/>
      <c r="H55" s="193"/>
      <c r="I55" s="193"/>
      <c r="J55" s="195"/>
      <c r="K55" s="196"/>
      <c r="L55" s="193"/>
      <c r="M55" s="193"/>
      <c r="N55" s="195"/>
      <c r="O55" s="196"/>
      <c r="P55" s="193"/>
      <c r="Q55" s="193"/>
      <c r="R55" s="220"/>
      <c r="S55" s="220"/>
      <c r="T55" s="220"/>
      <c r="U55" s="220"/>
      <c r="V55" s="220"/>
      <c r="W55" s="220"/>
      <c r="X55" s="220"/>
      <c r="Y55" s="220"/>
    </row>
    <row r="56" spans="1:25" s="195" customFormat="1" ht="12.75">
      <c r="A56" s="8"/>
      <c r="B56" s="8"/>
      <c r="C56" s="196"/>
      <c r="D56" s="193"/>
      <c r="E56" s="193"/>
      <c r="G56" s="196"/>
      <c r="H56" s="193"/>
      <c r="I56" s="193"/>
      <c r="K56" s="196"/>
      <c r="L56" s="193"/>
      <c r="M56" s="193"/>
      <c r="O56" s="196"/>
      <c r="P56" s="193"/>
      <c r="Q56" s="193"/>
      <c r="R56" s="194"/>
      <c r="S56" s="194"/>
      <c r="T56" s="194"/>
      <c r="U56" s="194"/>
      <c r="V56" s="194"/>
      <c r="W56" s="194"/>
      <c r="X56" s="194"/>
      <c r="Y56" s="194"/>
    </row>
    <row r="57" spans="1:25" s="195" customFormat="1" ht="12.75">
      <c r="A57" s="8"/>
      <c r="B57" s="8"/>
      <c r="C57" s="196"/>
      <c r="D57" s="193"/>
      <c r="E57" s="193"/>
      <c r="G57" s="196"/>
      <c r="H57" s="193"/>
      <c r="I57" s="193"/>
      <c r="K57" s="196"/>
      <c r="L57" s="193"/>
      <c r="M57" s="193"/>
      <c r="O57" s="196"/>
      <c r="P57" s="193"/>
      <c r="Q57" s="193"/>
      <c r="R57" s="194"/>
      <c r="S57" s="194"/>
      <c r="T57" s="194"/>
      <c r="U57" s="194"/>
      <c r="V57" s="194"/>
      <c r="W57" s="194"/>
      <c r="X57" s="194"/>
      <c r="Y57" s="194"/>
    </row>
    <row r="58" spans="1:25" s="195" customFormat="1" ht="12.75">
      <c r="A58" s="8"/>
      <c r="B58" s="8"/>
      <c r="C58" s="196"/>
      <c r="D58" s="193"/>
      <c r="E58" s="193"/>
      <c r="G58" s="196"/>
      <c r="H58" s="193"/>
      <c r="I58" s="193"/>
      <c r="K58" s="196"/>
      <c r="L58" s="193"/>
      <c r="M58" s="193"/>
      <c r="O58" s="196"/>
      <c r="P58" s="193"/>
      <c r="Q58" s="193"/>
      <c r="R58" s="194"/>
      <c r="S58" s="194"/>
      <c r="T58" s="194"/>
      <c r="U58" s="194"/>
      <c r="V58" s="194"/>
      <c r="W58" s="194"/>
      <c r="X58" s="194"/>
      <c r="Y58" s="194"/>
    </row>
    <row r="59" spans="1:25" s="195" customFormat="1" ht="12.75">
      <c r="A59" s="8"/>
      <c r="B59" s="8"/>
      <c r="C59" s="196"/>
      <c r="D59" s="193"/>
      <c r="E59" s="193"/>
      <c r="G59" s="196"/>
      <c r="H59" s="193"/>
      <c r="I59" s="193"/>
      <c r="K59" s="196"/>
      <c r="L59" s="193"/>
      <c r="M59" s="193"/>
      <c r="O59" s="196"/>
      <c r="P59" s="193"/>
      <c r="Q59" s="193"/>
      <c r="R59" s="194"/>
      <c r="S59" s="194"/>
      <c r="T59" s="194"/>
      <c r="U59" s="194"/>
      <c r="V59" s="194"/>
      <c r="W59" s="194"/>
      <c r="X59" s="194"/>
      <c r="Y59" s="194"/>
    </row>
    <row r="60" spans="1:25" s="195" customFormat="1" ht="12.75">
      <c r="A60" s="8"/>
      <c r="B60" s="8"/>
      <c r="C60" s="196"/>
      <c r="D60" s="193"/>
      <c r="E60" s="193"/>
      <c r="G60" s="196"/>
      <c r="H60" s="193"/>
      <c r="I60" s="193"/>
      <c r="K60" s="196"/>
      <c r="L60" s="193"/>
      <c r="M60" s="193"/>
      <c r="O60" s="196"/>
      <c r="P60" s="193"/>
      <c r="Q60" s="193"/>
      <c r="R60" s="194"/>
      <c r="S60" s="194"/>
      <c r="T60" s="194"/>
      <c r="U60" s="194"/>
      <c r="V60" s="194"/>
      <c r="W60" s="194"/>
      <c r="X60" s="194"/>
      <c r="Y60" s="194"/>
    </row>
    <row r="61" spans="1:25" s="195" customFormat="1" ht="12.75">
      <c r="A61" s="8"/>
      <c r="B61" s="8"/>
      <c r="C61" s="196"/>
      <c r="D61" s="193"/>
      <c r="E61" s="193"/>
      <c r="G61" s="196"/>
      <c r="H61" s="193"/>
      <c r="I61" s="193"/>
      <c r="K61" s="196"/>
      <c r="L61" s="193"/>
      <c r="M61" s="193"/>
      <c r="O61" s="196"/>
      <c r="P61" s="193"/>
      <c r="Q61" s="193"/>
      <c r="R61" s="194"/>
      <c r="S61" s="194"/>
      <c r="T61" s="194"/>
      <c r="U61" s="194"/>
      <c r="V61" s="194"/>
      <c r="W61" s="194"/>
      <c r="X61" s="194"/>
      <c r="Y61" s="194"/>
    </row>
    <row r="62" spans="1:25" s="195" customFormat="1" ht="12.75">
      <c r="A62" s="8"/>
      <c r="B62" s="8"/>
      <c r="C62" s="196"/>
      <c r="D62" s="193"/>
      <c r="E62" s="193"/>
      <c r="G62" s="196"/>
      <c r="H62" s="193"/>
      <c r="I62" s="193"/>
      <c r="K62" s="196"/>
      <c r="L62" s="193"/>
      <c r="M62" s="193"/>
      <c r="O62" s="196"/>
      <c r="P62" s="193"/>
      <c r="Q62" s="193"/>
      <c r="R62" s="194"/>
      <c r="S62" s="194"/>
      <c r="T62" s="194"/>
      <c r="U62" s="194"/>
      <c r="V62" s="194"/>
      <c r="W62" s="194"/>
      <c r="X62" s="194"/>
      <c r="Y62" s="194"/>
    </row>
    <row r="63" spans="1:25" s="195" customFormat="1" ht="12.75">
      <c r="A63" s="8"/>
      <c r="B63" s="8"/>
      <c r="C63" s="196"/>
      <c r="D63" s="193"/>
      <c r="E63" s="193"/>
      <c r="G63" s="196"/>
      <c r="H63" s="193"/>
      <c r="I63" s="193"/>
      <c r="K63" s="196"/>
      <c r="L63" s="193"/>
      <c r="M63" s="193"/>
      <c r="O63" s="196"/>
      <c r="P63" s="193"/>
      <c r="Q63" s="193"/>
      <c r="R63" s="194"/>
      <c r="S63" s="194"/>
      <c r="T63" s="194"/>
      <c r="U63" s="194"/>
      <c r="V63" s="194"/>
      <c r="W63" s="194"/>
      <c r="X63" s="194"/>
      <c r="Y63" s="194"/>
    </row>
    <row r="64" spans="1:25" s="195" customFormat="1" ht="12.75">
      <c r="A64" s="8"/>
      <c r="B64" s="8"/>
      <c r="C64" s="196"/>
      <c r="D64" s="193"/>
      <c r="E64" s="193"/>
      <c r="G64" s="196"/>
      <c r="H64" s="193"/>
      <c r="I64" s="193"/>
      <c r="K64" s="196"/>
      <c r="L64" s="193"/>
      <c r="M64" s="193"/>
      <c r="O64" s="196"/>
      <c r="P64" s="193"/>
      <c r="Q64" s="193"/>
      <c r="R64" s="194"/>
      <c r="S64" s="194"/>
      <c r="T64" s="194"/>
      <c r="U64" s="194"/>
      <c r="V64" s="194"/>
      <c r="W64" s="194"/>
      <c r="X64" s="194"/>
      <c r="Y64" s="194"/>
    </row>
    <row r="65" spans="1:25" s="195" customFormat="1" ht="12.75">
      <c r="A65" s="8"/>
      <c r="B65" s="8"/>
      <c r="C65" s="196"/>
      <c r="D65" s="193"/>
      <c r="E65" s="193"/>
      <c r="G65" s="196"/>
      <c r="H65" s="193"/>
      <c r="I65" s="193"/>
      <c r="K65" s="196"/>
      <c r="L65" s="193"/>
      <c r="M65" s="193"/>
      <c r="O65" s="196"/>
      <c r="P65" s="193"/>
      <c r="Q65" s="193"/>
      <c r="R65" s="194"/>
      <c r="S65" s="194"/>
      <c r="T65" s="194"/>
      <c r="U65" s="194"/>
      <c r="V65" s="194"/>
      <c r="W65" s="194"/>
      <c r="X65" s="194"/>
      <c r="Y65" s="194"/>
    </row>
    <row r="66" spans="1:25" s="195" customFormat="1" ht="12.75">
      <c r="A66" s="8"/>
      <c r="B66" s="8"/>
      <c r="C66" s="196"/>
      <c r="D66" s="193"/>
      <c r="E66" s="193"/>
      <c r="G66" s="196"/>
      <c r="H66" s="193"/>
      <c r="I66" s="193"/>
      <c r="K66" s="196"/>
      <c r="L66" s="193"/>
      <c r="M66" s="193"/>
      <c r="O66" s="196"/>
      <c r="P66" s="193"/>
      <c r="Q66" s="193"/>
      <c r="R66" s="194"/>
      <c r="S66" s="194"/>
      <c r="T66" s="194"/>
      <c r="U66" s="194"/>
      <c r="V66" s="194"/>
      <c r="W66" s="194"/>
      <c r="X66" s="194"/>
      <c r="Y66" s="194"/>
    </row>
    <row r="67" spans="1:25" s="195" customFormat="1" ht="12.75">
      <c r="A67" s="8"/>
      <c r="B67" s="8"/>
      <c r="C67" s="196"/>
      <c r="D67" s="193"/>
      <c r="E67" s="193"/>
      <c r="G67" s="196"/>
      <c r="H67" s="193"/>
      <c r="I67" s="193"/>
      <c r="K67" s="196"/>
      <c r="L67" s="193"/>
      <c r="M67" s="193"/>
      <c r="O67" s="196"/>
      <c r="P67" s="193"/>
      <c r="Q67" s="193"/>
      <c r="R67" s="194"/>
      <c r="S67" s="194"/>
      <c r="T67" s="194"/>
      <c r="U67" s="194"/>
      <c r="V67" s="194"/>
      <c r="W67" s="194"/>
      <c r="X67" s="194"/>
      <c r="Y67" s="194"/>
    </row>
    <row r="68" spans="1:25" s="195" customFormat="1" ht="12.75">
      <c r="A68" s="8"/>
      <c r="B68" s="8"/>
      <c r="C68" s="196"/>
      <c r="D68" s="193"/>
      <c r="E68" s="193"/>
      <c r="G68" s="196"/>
      <c r="H68" s="193"/>
      <c r="I68" s="193"/>
      <c r="K68" s="196"/>
      <c r="L68" s="193"/>
      <c r="M68" s="193"/>
      <c r="O68" s="196"/>
      <c r="P68" s="193"/>
      <c r="Q68" s="193"/>
      <c r="R68" s="194"/>
      <c r="S68" s="194"/>
      <c r="T68" s="194"/>
      <c r="U68" s="194"/>
      <c r="V68" s="194"/>
      <c r="W68" s="194"/>
      <c r="X68" s="194"/>
      <c r="Y68" s="194"/>
    </row>
    <row r="69" spans="1:25" s="195" customFormat="1" ht="12.75">
      <c r="A69" s="8"/>
      <c r="B69" s="8"/>
      <c r="C69" s="196"/>
      <c r="D69" s="193"/>
      <c r="E69" s="193"/>
      <c r="G69" s="196"/>
      <c r="H69" s="193"/>
      <c r="I69" s="193"/>
      <c r="K69" s="196"/>
      <c r="L69" s="193"/>
      <c r="M69" s="193"/>
      <c r="O69" s="196"/>
      <c r="P69" s="193"/>
      <c r="Q69" s="193"/>
      <c r="R69" s="194"/>
      <c r="S69" s="194"/>
      <c r="T69" s="194"/>
      <c r="U69" s="194"/>
      <c r="V69" s="194"/>
      <c r="W69" s="194"/>
      <c r="X69" s="194"/>
      <c r="Y69" s="194"/>
    </row>
    <row r="70" spans="1:25" s="195" customFormat="1" ht="12.75">
      <c r="A70" s="8"/>
      <c r="B70" s="8"/>
      <c r="C70" s="196"/>
      <c r="D70" s="193"/>
      <c r="E70" s="193"/>
      <c r="G70" s="196"/>
      <c r="H70" s="193"/>
      <c r="I70" s="193"/>
      <c r="K70" s="196"/>
      <c r="L70" s="193"/>
      <c r="M70" s="193"/>
      <c r="O70" s="196"/>
      <c r="P70" s="193"/>
      <c r="Q70" s="193"/>
      <c r="R70" s="194"/>
      <c r="S70" s="194"/>
      <c r="T70" s="194"/>
      <c r="U70" s="194"/>
      <c r="V70" s="194"/>
      <c r="W70" s="194"/>
      <c r="X70" s="194"/>
      <c r="Y70" s="194"/>
    </row>
    <row r="71" spans="1:25" s="195" customFormat="1" ht="12.75">
      <c r="A71" s="8"/>
      <c r="B71" s="8"/>
      <c r="C71" s="196"/>
      <c r="D71" s="193"/>
      <c r="E71" s="193"/>
      <c r="G71" s="196"/>
      <c r="H71" s="193"/>
      <c r="I71" s="193"/>
      <c r="K71" s="196"/>
      <c r="L71" s="193"/>
      <c r="M71" s="193"/>
      <c r="O71" s="196"/>
      <c r="P71" s="193"/>
      <c r="Q71" s="193"/>
      <c r="R71" s="194"/>
      <c r="S71" s="194"/>
      <c r="T71" s="194"/>
      <c r="U71" s="194"/>
      <c r="V71" s="194"/>
      <c r="W71" s="194"/>
      <c r="X71" s="194"/>
      <c r="Y71" s="194"/>
    </row>
    <row r="72" spans="1:25" s="195" customFormat="1" ht="12.75">
      <c r="A72" s="8"/>
      <c r="B72" s="8"/>
      <c r="C72" s="196"/>
      <c r="D72" s="193"/>
      <c r="E72" s="193"/>
      <c r="G72" s="196"/>
      <c r="H72" s="193"/>
      <c r="I72" s="193"/>
      <c r="K72" s="196"/>
      <c r="L72" s="193"/>
      <c r="M72" s="193"/>
      <c r="O72" s="196"/>
      <c r="P72" s="193"/>
      <c r="Q72" s="193"/>
      <c r="R72" s="194"/>
      <c r="S72" s="194"/>
      <c r="T72" s="194"/>
      <c r="U72" s="194"/>
      <c r="V72" s="194"/>
      <c r="W72" s="194"/>
      <c r="X72" s="194"/>
      <c r="Y72" s="194"/>
    </row>
    <row r="73" spans="1:25" s="195" customFormat="1" ht="12.75">
      <c r="A73" s="8"/>
      <c r="B73" s="8"/>
      <c r="C73" s="184"/>
      <c r="D73" s="185"/>
      <c r="E73" s="185"/>
      <c r="F73" s="186"/>
      <c r="G73" s="187"/>
      <c r="H73" s="188"/>
      <c r="I73" s="188"/>
      <c r="J73" s="186"/>
      <c r="K73" s="187"/>
      <c r="L73" s="188"/>
      <c r="M73" s="188"/>
      <c r="N73" s="186"/>
      <c r="O73" s="187"/>
      <c r="P73" s="188"/>
      <c r="Q73" s="188"/>
      <c r="R73" s="194"/>
      <c r="S73" s="194"/>
      <c r="T73" s="194"/>
      <c r="U73" s="194"/>
      <c r="V73" s="194"/>
      <c r="W73" s="194"/>
      <c r="X73" s="194"/>
      <c r="Y73" s="194"/>
    </row>
    <row r="74" spans="1:25" s="195" customFormat="1" ht="12.75">
      <c r="A74" s="8"/>
      <c r="B74" s="8"/>
      <c r="C74" s="184"/>
      <c r="D74" s="185"/>
      <c r="E74" s="185"/>
      <c r="F74" s="186"/>
      <c r="G74" s="187"/>
      <c r="H74" s="188"/>
      <c r="I74" s="188"/>
      <c r="J74" s="186"/>
      <c r="K74" s="187"/>
      <c r="L74" s="188"/>
      <c r="M74" s="188"/>
      <c r="N74" s="186"/>
      <c r="O74" s="187"/>
      <c r="P74" s="188"/>
      <c r="Q74" s="188"/>
      <c r="R74" s="194"/>
      <c r="S74" s="194"/>
      <c r="T74" s="194"/>
      <c r="U74" s="194"/>
      <c r="V74" s="194"/>
      <c r="W74" s="194"/>
      <c r="X74" s="194"/>
      <c r="Y74" s="194"/>
    </row>
    <row r="75" spans="1:25" s="195" customFormat="1" ht="12.75">
      <c r="A75" s="8"/>
      <c r="B75" s="8"/>
      <c r="C75" s="184"/>
      <c r="D75" s="185"/>
      <c r="E75" s="185"/>
      <c r="F75" s="186"/>
      <c r="G75" s="187"/>
      <c r="H75" s="188"/>
      <c r="I75" s="188"/>
      <c r="J75" s="186"/>
      <c r="K75" s="187"/>
      <c r="L75" s="188"/>
      <c r="M75" s="188"/>
      <c r="N75" s="186"/>
      <c r="O75" s="187"/>
      <c r="P75" s="188"/>
      <c r="Q75" s="188"/>
      <c r="R75" s="194"/>
      <c r="S75" s="194"/>
      <c r="T75" s="194"/>
      <c r="U75" s="194"/>
      <c r="V75" s="194"/>
      <c r="W75" s="194"/>
      <c r="X75" s="194"/>
      <c r="Y75" s="194"/>
    </row>
    <row r="76" spans="1:25" s="195" customFormat="1" ht="12.75">
      <c r="A76" s="8"/>
      <c r="B76" s="8"/>
      <c r="C76" s="184"/>
      <c r="D76" s="185"/>
      <c r="E76" s="185"/>
      <c r="F76" s="186"/>
      <c r="G76" s="187"/>
      <c r="H76" s="188"/>
      <c r="I76" s="188"/>
      <c r="J76" s="186"/>
      <c r="K76" s="187"/>
      <c r="L76" s="188"/>
      <c r="M76" s="188"/>
      <c r="N76" s="186"/>
      <c r="O76" s="187"/>
      <c r="P76" s="188"/>
      <c r="Q76" s="188"/>
      <c r="R76" s="194"/>
      <c r="S76" s="194"/>
      <c r="T76" s="194"/>
      <c r="U76" s="194"/>
      <c r="V76" s="194"/>
      <c r="W76" s="194"/>
      <c r="X76" s="194"/>
      <c r="Y76" s="194"/>
    </row>
  </sheetData>
  <sheetProtection/>
  <mergeCells count="10">
    <mergeCell ref="O6:Q6"/>
    <mergeCell ref="O47:Q47"/>
    <mergeCell ref="H1:L1"/>
    <mergeCell ref="C47:E47"/>
    <mergeCell ref="G47:I47"/>
    <mergeCell ref="K47:M47"/>
    <mergeCell ref="H3:L3"/>
    <mergeCell ref="C6:E6"/>
    <mergeCell ref="G6:I6"/>
    <mergeCell ref="K6:M6"/>
  </mergeCells>
  <printOptions/>
  <pageMargins left="0.75" right="0.75" top="1" bottom="1" header="0.5" footer="0.5"/>
  <pageSetup horizontalDpi="600" verticalDpi="600" orientation="landscape" scale="63" r:id="rId1"/>
  <headerFooter alignWithMargins="0">
    <oddFooter>&amp;L"&amp;F"&amp;R&amp;"Arial,Italic"&amp;A</oddFooter>
  </headerFooter>
  <rowBreaks count="1" manualBreakCount="1">
    <brk id="46" max="255" man="1"/>
  </rowBreaks>
  <colBreaks count="1" manualBreakCount="1">
    <brk id="17" max="65535" man="1"/>
  </colBreaks>
</worksheet>
</file>

<file path=xl/worksheets/sheet20.xml><?xml version="1.0" encoding="utf-8"?>
<worksheet xmlns="http://schemas.openxmlformats.org/spreadsheetml/2006/main" xmlns:r="http://schemas.openxmlformats.org/officeDocument/2006/relationships">
  <dimension ref="A1:AC26"/>
  <sheetViews>
    <sheetView zoomScale="80" zoomScaleNormal="80" zoomScaleSheetLayoutView="85" zoomScalePageLayoutView="80" workbookViewId="0" topLeftCell="A1">
      <selection activeCell="V30" sqref="V30"/>
    </sheetView>
  </sheetViews>
  <sheetFormatPr defaultColWidth="9.140625" defaultRowHeight="12.75"/>
  <cols>
    <col min="1" max="1" width="9.00390625" style="459" customWidth="1"/>
    <col min="2" max="3" width="8.140625" style="421" bestFit="1" customWidth="1"/>
    <col min="4" max="4" width="7.8515625" style="421" bestFit="1" customWidth="1"/>
    <col min="5" max="5" width="8.140625" style="421" bestFit="1" customWidth="1"/>
    <col min="6" max="6" width="7.8515625" style="421" bestFit="1" customWidth="1"/>
    <col min="7" max="7" width="12.8515625" style="439" bestFit="1" customWidth="1"/>
    <col min="8" max="9" width="6.8515625" style="439" bestFit="1" customWidth="1"/>
    <col min="10" max="10" width="8.00390625" style="439" bestFit="1" customWidth="1"/>
    <col min="11" max="11" width="6.8515625" style="421" bestFit="1" customWidth="1"/>
    <col min="12" max="12" width="7.421875" style="421" customWidth="1"/>
    <col min="13" max="13" width="1.421875" style="421" customWidth="1"/>
    <col min="14" max="14" width="11.140625" style="421" bestFit="1" customWidth="1"/>
    <col min="15" max="15" width="2.140625" style="421" customWidth="1"/>
    <col min="16" max="17" width="8.140625" style="421" bestFit="1" customWidth="1"/>
    <col min="18" max="18" width="7.8515625" style="421" bestFit="1" customWidth="1"/>
    <col min="19" max="19" width="8.140625" style="421" bestFit="1" customWidth="1"/>
    <col min="20" max="20" width="7.8515625" style="421" bestFit="1" customWidth="1"/>
    <col min="21" max="21" width="12.8515625" style="421" bestFit="1" customWidth="1"/>
    <col min="22" max="25" width="6.7109375" style="421" bestFit="1" customWidth="1"/>
    <col min="26" max="26" width="7.57421875" style="421" customWidth="1"/>
    <col min="27" max="27" width="1.1484375" style="421" customWidth="1"/>
    <col min="28" max="28" width="11.140625" style="421" bestFit="1" customWidth="1"/>
    <col min="29" max="16384" width="9.140625" style="421" customWidth="1"/>
  </cols>
  <sheetData>
    <row r="1" spans="10:18" ht="15.75">
      <c r="J1" s="725" t="s">
        <v>97</v>
      </c>
      <c r="K1" s="725"/>
      <c r="L1" s="725"/>
      <c r="M1" s="725"/>
      <c r="N1" s="725"/>
      <c r="O1" s="725"/>
      <c r="P1" s="725"/>
      <c r="Q1" s="725"/>
      <c r="R1" s="725"/>
    </row>
    <row r="2" spans="1:28" ht="18" customHeight="1">
      <c r="A2" s="717" t="s">
        <v>94</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row>
    <row r="3" spans="1:28" ht="18" customHeight="1">
      <c r="A3" s="718" t="s">
        <v>1</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row>
    <row r="4" spans="1:28" ht="18" customHeight="1">
      <c r="A4" s="719" t="s">
        <v>127</v>
      </c>
      <c r="B4" s="719"/>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row>
    <row r="5" spans="1:28" ht="18" customHeight="1">
      <c r="A5" s="720" t="s">
        <v>87</v>
      </c>
      <c r="B5" s="720"/>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row>
    <row r="6" spans="1:28" ht="18" customHeight="1">
      <c r="A6" s="721" t="s">
        <v>184</v>
      </c>
      <c r="B6" s="721"/>
      <c r="C6" s="721"/>
      <c r="D6" s="721"/>
      <c r="E6" s="721"/>
      <c r="F6" s="721"/>
      <c r="G6" s="721"/>
      <c r="H6" s="721"/>
      <c r="I6" s="721"/>
      <c r="J6" s="721"/>
      <c r="K6" s="721"/>
      <c r="L6" s="721"/>
      <c r="M6" s="721"/>
      <c r="N6" s="721"/>
      <c r="O6" s="721"/>
      <c r="P6" s="721"/>
      <c r="Q6" s="721"/>
      <c r="R6" s="721"/>
      <c r="S6" s="721"/>
      <c r="T6" s="721"/>
      <c r="U6" s="721"/>
      <c r="V6" s="721"/>
      <c r="W6" s="721"/>
      <c r="X6" s="721"/>
      <c r="Y6" s="721"/>
      <c r="Z6" s="721"/>
      <c r="AA6" s="721"/>
      <c r="AB6" s="721"/>
    </row>
    <row r="7" spans="1:21" ht="18" customHeight="1">
      <c r="A7" s="462"/>
      <c r="B7" s="462"/>
      <c r="C7" s="462"/>
      <c r="D7" s="462"/>
      <c r="E7" s="462"/>
      <c r="F7" s="462"/>
      <c r="G7" s="462"/>
      <c r="H7" s="462"/>
      <c r="I7" s="462"/>
      <c r="J7" s="462"/>
      <c r="K7" s="462"/>
      <c r="L7" s="462"/>
      <c r="M7" s="460"/>
      <c r="N7" s="462"/>
      <c r="O7" s="462"/>
      <c r="P7" s="487"/>
      <c r="Q7" s="462"/>
      <c r="R7" s="462"/>
      <c r="S7" s="487"/>
      <c r="T7" s="487"/>
      <c r="U7" s="487"/>
    </row>
    <row r="8" spans="1:28" s="457" customFormat="1" ht="12.75">
      <c r="A8" s="488"/>
      <c r="B8" s="723" t="s">
        <v>268</v>
      </c>
      <c r="C8" s="723"/>
      <c r="D8" s="723"/>
      <c r="E8" s="723"/>
      <c r="F8" s="723"/>
      <c r="G8" s="723"/>
      <c r="H8" s="723"/>
      <c r="I8" s="723"/>
      <c r="J8" s="723"/>
      <c r="K8" s="723"/>
      <c r="L8" s="723"/>
      <c r="M8" s="723"/>
      <c r="N8" s="723"/>
      <c r="P8" s="723" t="s">
        <v>270</v>
      </c>
      <c r="Q8" s="723"/>
      <c r="R8" s="723"/>
      <c r="S8" s="723"/>
      <c r="T8" s="723"/>
      <c r="U8" s="723"/>
      <c r="V8" s="723"/>
      <c r="W8" s="723"/>
      <c r="X8" s="723"/>
      <c r="Y8" s="723"/>
      <c r="Z8" s="723"/>
      <c r="AA8" s="723"/>
      <c r="AB8" s="723"/>
    </row>
    <row r="9" spans="1:28" s="457" customFormat="1" ht="27">
      <c r="A9" s="488"/>
      <c r="B9" s="714" t="s">
        <v>81</v>
      </c>
      <c r="C9" s="715"/>
      <c r="D9" s="715"/>
      <c r="E9" s="715"/>
      <c r="F9" s="715"/>
      <c r="G9" s="464" t="s">
        <v>128</v>
      </c>
      <c r="H9" s="715" t="s">
        <v>143</v>
      </c>
      <c r="I9" s="715"/>
      <c r="J9" s="715"/>
      <c r="K9" s="715"/>
      <c r="L9" s="715"/>
      <c r="M9" s="464"/>
      <c r="N9" s="465" t="s">
        <v>144</v>
      </c>
      <c r="P9" s="489"/>
      <c r="Q9" s="490"/>
      <c r="R9" s="490"/>
      <c r="S9" s="490"/>
      <c r="T9" s="490"/>
      <c r="U9" s="464" t="s">
        <v>128</v>
      </c>
      <c r="V9" s="715" t="s">
        <v>143</v>
      </c>
      <c r="W9" s="715"/>
      <c r="X9" s="715"/>
      <c r="Y9" s="715"/>
      <c r="Z9" s="715"/>
      <c r="AA9" s="464"/>
      <c r="AB9" s="465" t="s">
        <v>144</v>
      </c>
    </row>
    <row r="10" spans="2:28" ht="12.75">
      <c r="B10" s="466">
        <v>2003</v>
      </c>
      <c r="C10" s="467">
        <v>2004</v>
      </c>
      <c r="D10" s="467">
        <v>2005</v>
      </c>
      <c r="E10" s="467">
        <v>2006</v>
      </c>
      <c r="F10" s="467">
        <v>2007</v>
      </c>
      <c r="G10" s="467">
        <v>2007</v>
      </c>
      <c r="H10" s="468" t="s">
        <v>89</v>
      </c>
      <c r="I10" s="469" t="s">
        <v>90</v>
      </c>
      <c r="J10" s="469" t="s">
        <v>91</v>
      </c>
      <c r="K10" s="469" t="s">
        <v>92</v>
      </c>
      <c r="L10" s="469" t="s">
        <v>93</v>
      </c>
      <c r="M10" s="469"/>
      <c r="N10" s="470" t="s">
        <v>93</v>
      </c>
      <c r="P10" s="466">
        <v>2003</v>
      </c>
      <c r="Q10" s="467">
        <v>2004</v>
      </c>
      <c r="R10" s="467">
        <v>2005</v>
      </c>
      <c r="S10" s="467">
        <v>2006</v>
      </c>
      <c r="T10" s="467">
        <v>2007</v>
      </c>
      <c r="U10" s="467">
        <v>2007</v>
      </c>
      <c r="V10" s="468" t="s">
        <v>89</v>
      </c>
      <c r="W10" s="469" t="s">
        <v>90</v>
      </c>
      <c r="X10" s="469" t="s">
        <v>91</v>
      </c>
      <c r="Y10" s="469" t="s">
        <v>92</v>
      </c>
      <c r="Z10" s="469" t="s">
        <v>93</v>
      </c>
      <c r="AA10" s="469"/>
      <c r="AB10" s="470" t="s">
        <v>93</v>
      </c>
    </row>
    <row r="11" spans="1:29" s="439" customFormat="1" ht="12.75">
      <c r="A11" s="471" t="s">
        <v>27</v>
      </c>
      <c r="B11" s="491">
        <v>0.9294302816118519</v>
      </c>
      <c r="C11" s="474">
        <v>0.9123884447336618</v>
      </c>
      <c r="D11" s="474">
        <v>0.8566412372559458</v>
      </c>
      <c r="E11" s="474">
        <v>0.8631450639727761</v>
      </c>
      <c r="F11" s="474">
        <v>0.8369581403326095</v>
      </c>
      <c r="G11" s="111">
        <v>151111</v>
      </c>
      <c r="H11" s="206">
        <v>0.9816642117054379</v>
      </c>
      <c r="I11" s="206">
        <v>0.9388997002324055</v>
      </c>
      <c r="J11" s="206">
        <v>1.0075922409918812</v>
      </c>
      <c r="K11" s="206">
        <v>0.9856703599453399</v>
      </c>
      <c r="L11" s="206">
        <v>0.9153742058152463</v>
      </c>
      <c r="M11" s="206"/>
      <c r="N11" s="475">
        <v>-0.021863044352181338</v>
      </c>
      <c r="P11" s="491">
        <v>0.9314446731675056</v>
      </c>
      <c r="Q11" s="474">
        <v>0.9149911352859591</v>
      </c>
      <c r="R11" s="474">
        <v>0.8849001678572225</v>
      </c>
      <c r="S11" s="474">
        <v>0.8578233012391167</v>
      </c>
      <c r="T11" s="474">
        <v>0.8379178921034064</v>
      </c>
      <c r="U11" s="438">
        <v>128880</v>
      </c>
      <c r="V11" s="206">
        <v>0.98233546408549</v>
      </c>
      <c r="W11" s="206">
        <v>0.9671133781866287</v>
      </c>
      <c r="X11" s="206">
        <v>0.9694012188022608</v>
      </c>
      <c r="Y11" s="206">
        <v>0.976795443645612</v>
      </c>
      <c r="Z11" s="206">
        <v>0.8995895475508507</v>
      </c>
      <c r="AA11" s="206"/>
      <c r="AB11" s="475">
        <v>-0.02610732318939557</v>
      </c>
      <c r="AC11" s="492"/>
    </row>
    <row r="12" spans="1:29" s="439" customFormat="1" ht="4.5" customHeight="1">
      <c r="A12" s="471"/>
      <c r="B12" s="491"/>
      <c r="C12" s="474"/>
      <c r="D12" s="474"/>
      <c r="E12" s="474"/>
      <c r="F12" s="474"/>
      <c r="G12" s="111"/>
      <c r="H12" s="206"/>
      <c r="I12" s="206"/>
      <c r="J12" s="206"/>
      <c r="K12" s="206"/>
      <c r="L12" s="206"/>
      <c r="M12" s="206"/>
      <c r="N12" s="475"/>
      <c r="P12" s="491"/>
      <c r="Q12" s="474"/>
      <c r="R12" s="474"/>
      <c r="S12" s="474"/>
      <c r="T12" s="474"/>
      <c r="U12" s="438"/>
      <c r="V12" s="206"/>
      <c r="W12" s="206"/>
      <c r="X12" s="206"/>
      <c r="Y12" s="206"/>
      <c r="Z12" s="206"/>
      <c r="AA12" s="206"/>
      <c r="AB12" s="475"/>
      <c r="AC12" s="492"/>
    </row>
    <row r="13" spans="1:29" s="439" customFormat="1" ht="12.75">
      <c r="A13" s="471" t="s">
        <v>26</v>
      </c>
      <c r="B13" s="491">
        <v>1.027468361812562</v>
      </c>
      <c r="C13" s="474">
        <v>1.0241576963870647</v>
      </c>
      <c r="D13" s="474">
        <v>0.9632207963097158</v>
      </c>
      <c r="E13" s="474">
        <v>0.9587460976591499</v>
      </c>
      <c r="F13" s="474">
        <v>0.9415258158769184</v>
      </c>
      <c r="G13" s="111">
        <v>88708</v>
      </c>
      <c r="H13" s="206">
        <v>0.9967778419768986</v>
      </c>
      <c r="I13" s="206">
        <v>0.9405004714680983</v>
      </c>
      <c r="J13" s="206">
        <v>0.9953544414035604</v>
      </c>
      <c r="K13" s="206">
        <v>0.9913017799834059</v>
      </c>
      <c r="L13" s="206">
        <v>0.9249985191612541</v>
      </c>
      <c r="M13" s="206"/>
      <c r="N13" s="475">
        <v>-0.019302068304488884</v>
      </c>
      <c r="P13" s="491">
        <v>1.0272432582025326</v>
      </c>
      <c r="Q13" s="474">
        <v>1.0244900938474957</v>
      </c>
      <c r="R13" s="474">
        <v>0.9833472139992006</v>
      </c>
      <c r="S13" s="474">
        <v>0.956141753438048</v>
      </c>
      <c r="T13" s="474">
        <v>0.9435151562905251</v>
      </c>
      <c r="U13" s="438">
        <v>80664</v>
      </c>
      <c r="V13" s="206">
        <v>0.997319851619319</v>
      </c>
      <c r="W13" s="206">
        <v>0.9598406269661602</v>
      </c>
      <c r="X13" s="206">
        <v>0.972333820471703</v>
      </c>
      <c r="Y13" s="206">
        <v>0.9867942205200005</v>
      </c>
      <c r="Z13" s="206">
        <v>0.9184924298665977</v>
      </c>
      <c r="AA13" s="206"/>
      <c r="AB13" s="475">
        <v>-0.021031099985940216</v>
      </c>
      <c r="AC13" s="492"/>
    </row>
    <row r="14" spans="1:28" s="439" customFormat="1" ht="4.5" customHeight="1">
      <c r="A14" s="471"/>
      <c r="B14" s="491"/>
      <c r="C14" s="474"/>
      <c r="D14" s="474"/>
      <c r="E14" s="474"/>
      <c r="F14" s="474"/>
      <c r="G14" s="111"/>
      <c r="H14" s="206"/>
      <c r="I14" s="206"/>
      <c r="J14" s="206"/>
      <c r="K14" s="206"/>
      <c r="L14" s="206"/>
      <c r="M14" s="206"/>
      <c r="N14" s="207"/>
      <c r="P14" s="491"/>
      <c r="Q14" s="474"/>
      <c r="R14" s="474"/>
      <c r="S14" s="474"/>
      <c r="T14" s="474"/>
      <c r="U14" s="111"/>
      <c r="V14" s="206"/>
      <c r="W14" s="206"/>
      <c r="X14" s="206"/>
      <c r="Y14" s="206"/>
      <c r="Z14" s="206"/>
      <c r="AA14" s="206"/>
      <c r="AB14" s="207"/>
    </row>
    <row r="15" spans="1:28" ht="13.5" thickBot="1">
      <c r="A15" s="493" t="s">
        <v>84</v>
      </c>
      <c r="B15" s="494">
        <v>0.9621810757313632</v>
      </c>
      <c r="C15" s="481">
        <v>0.9503793079643167</v>
      </c>
      <c r="D15" s="481">
        <v>0.8914153867505075</v>
      </c>
      <c r="E15" s="481">
        <v>0.8949022742874118</v>
      </c>
      <c r="F15" s="481">
        <v>0.8728145153846839</v>
      </c>
      <c r="G15" s="495">
        <v>239819</v>
      </c>
      <c r="H15" s="496">
        <v>0.9877343588803429</v>
      </c>
      <c r="I15" s="496">
        <v>0.9379574863218475</v>
      </c>
      <c r="J15" s="496">
        <v>1.003911630412411</v>
      </c>
      <c r="K15" s="496">
        <v>0.9882428045152808</v>
      </c>
      <c r="L15" s="496">
        <v>0.9191416830108288</v>
      </c>
      <c r="M15" s="496"/>
      <c r="N15" s="498">
        <v>-0.02085814531491459</v>
      </c>
      <c r="P15" s="494">
        <v>0.9645005238388109</v>
      </c>
      <c r="Q15" s="481">
        <v>0.9532743150623832</v>
      </c>
      <c r="R15" s="481">
        <v>0.9198907786195719</v>
      </c>
      <c r="S15" s="481">
        <v>0.8924632050409312</v>
      </c>
      <c r="T15" s="481">
        <v>0.8756434447734919</v>
      </c>
      <c r="U15" s="482">
        <v>209544</v>
      </c>
      <c r="V15" s="496">
        <v>0.9883605985699767</v>
      </c>
      <c r="W15" s="496">
        <v>0.9649801364462163</v>
      </c>
      <c r="X15" s="496">
        <v>0.9701838802865274</v>
      </c>
      <c r="Y15" s="496">
        <v>0.9811535532530241</v>
      </c>
      <c r="Z15" s="496">
        <v>0.9078724408446573</v>
      </c>
      <c r="AA15" s="496"/>
      <c r="AB15" s="498">
        <v>-0.02387326393663447</v>
      </c>
    </row>
    <row r="16" spans="1:20" ht="13.5" thickTop="1">
      <c r="A16" s="471"/>
      <c r="B16" s="485"/>
      <c r="C16" s="485"/>
      <c r="D16" s="485"/>
      <c r="E16" s="485"/>
      <c r="F16" s="485"/>
      <c r="G16" s="485"/>
      <c r="H16" s="485"/>
      <c r="I16" s="485"/>
      <c r="J16" s="485"/>
      <c r="P16" s="485"/>
      <c r="Q16" s="485"/>
      <c r="R16" s="485"/>
      <c r="S16" s="485"/>
      <c r="T16" s="485"/>
    </row>
    <row r="17" spans="1:28" s="457" customFormat="1" ht="12.75">
      <c r="A17" s="497"/>
      <c r="B17" s="724" t="s">
        <v>259</v>
      </c>
      <c r="C17" s="724"/>
      <c r="D17" s="724"/>
      <c r="E17" s="724"/>
      <c r="F17" s="724"/>
      <c r="G17" s="724"/>
      <c r="H17" s="724"/>
      <c r="I17" s="724"/>
      <c r="J17" s="724"/>
      <c r="K17" s="724"/>
      <c r="L17" s="724"/>
      <c r="M17" s="724"/>
      <c r="N17" s="724"/>
      <c r="P17" s="723" t="s">
        <v>260</v>
      </c>
      <c r="Q17" s="723"/>
      <c r="R17" s="723"/>
      <c r="S17" s="723"/>
      <c r="T17" s="723"/>
      <c r="U17" s="723"/>
      <c r="V17" s="723"/>
      <c r="W17" s="723"/>
      <c r="X17" s="723"/>
      <c r="Y17" s="723"/>
      <c r="Z17" s="723"/>
      <c r="AA17" s="723"/>
      <c r="AB17" s="723"/>
    </row>
    <row r="18" spans="1:28" s="457" customFormat="1" ht="27">
      <c r="A18" s="497"/>
      <c r="B18" s="714" t="s">
        <v>81</v>
      </c>
      <c r="C18" s="715"/>
      <c r="D18" s="715"/>
      <c r="E18" s="715"/>
      <c r="F18" s="715"/>
      <c r="G18" s="464" t="s">
        <v>129</v>
      </c>
      <c r="H18" s="715" t="s">
        <v>143</v>
      </c>
      <c r="I18" s="715"/>
      <c r="J18" s="715"/>
      <c r="K18" s="715"/>
      <c r="L18" s="715"/>
      <c r="M18" s="464"/>
      <c r="N18" s="465" t="s">
        <v>144</v>
      </c>
      <c r="P18" s="489"/>
      <c r="Q18" s="490"/>
      <c r="R18" s="490"/>
      <c r="S18" s="490"/>
      <c r="T18" s="490"/>
      <c r="U18" s="464" t="s">
        <v>129</v>
      </c>
      <c r="V18" s="715" t="s">
        <v>143</v>
      </c>
      <c r="W18" s="715"/>
      <c r="X18" s="715"/>
      <c r="Y18" s="715"/>
      <c r="Z18" s="715"/>
      <c r="AA18" s="464"/>
      <c r="AB18" s="465" t="s">
        <v>144</v>
      </c>
    </row>
    <row r="19" spans="2:28" ht="12.75">
      <c r="B19" s="466">
        <v>2003</v>
      </c>
      <c r="C19" s="467">
        <v>2004</v>
      </c>
      <c r="D19" s="467">
        <v>2005</v>
      </c>
      <c r="E19" s="467">
        <v>2006</v>
      </c>
      <c r="F19" s="467">
        <v>2007</v>
      </c>
      <c r="G19" s="467">
        <v>2007</v>
      </c>
      <c r="H19" s="468" t="s">
        <v>89</v>
      </c>
      <c r="I19" s="469" t="s">
        <v>90</v>
      </c>
      <c r="J19" s="469" t="s">
        <v>91</v>
      </c>
      <c r="K19" s="469" t="s">
        <v>92</v>
      </c>
      <c r="L19" s="469" t="s">
        <v>93</v>
      </c>
      <c r="M19" s="469"/>
      <c r="N19" s="470" t="s">
        <v>93</v>
      </c>
      <c r="P19" s="466">
        <v>2003</v>
      </c>
      <c r="Q19" s="467">
        <v>2004</v>
      </c>
      <c r="R19" s="467">
        <v>2005</v>
      </c>
      <c r="S19" s="467">
        <v>2006</v>
      </c>
      <c r="T19" s="467">
        <v>2007</v>
      </c>
      <c r="U19" s="467">
        <v>2007</v>
      </c>
      <c r="V19" s="468" t="s">
        <v>89</v>
      </c>
      <c r="W19" s="469" t="s">
        <v>90</v>
      </c>
      <c r="X19" s="469" t="s">
        <v>91</v>
      </c>
      <c r="Y19" s="469" t="s">
        <v>92</v>
      </c>
      <c r="Z19" s="469" t="s">
        <v>93</v>
      </c>
      <c r="AA19" s="469"/>
      <c r="AB19" s="470" t="s">
        <v>93</v>
      </c>
    </row>
    <row r="20" spans="1:28" ht="12.75">
      <c r="A20" s="471" t="s">
        <v>27</v>
      </c>
      <c r="B20" s="491">
        <v>0.8868297154342255</v>
      </c>
      <c r="C20" s="474">
        <v>0.8600601601160247</v>
      </c>
      <c r="D20" s="474">
        <v>0.8010173573964837</v>
      </c>
      <c r="E20" s="474">
        <v>0.8106195999810725</v>
      </c>
      <c r="F20" s="474">
        <v>0.7799891448411521</v>
      </c>
      <c r="G20" s="240">
        <v>1154.918355</v>
      </c>
      <c r="H20" s="206">
        <v>0.9698143230292037</v>
      </c>
      <c r="I20" s="206">
        <v>0.9313503805227115</v>
      </c>
      <c r="J20" s="206">
        <v>1.0119875586913605</v>
      </c>
      <c r="K20" s="206">
        <v>0.981789344819426</v>
      </c>
      <c r="L20" s="206">
        <v>0.8974188303709695</v>
      </c>
      <c r="M20" s="206"/>
      <c r="N20" s="475">
        <v>-0.02669535837207415</v>
      </c>
      <c r="P20" s="491">
        <v>0.8892123314434023</v>
      </c>
      <c r="Q20" s="474">
        <v>0.8616741761025422</v>
      </c>
      <c r="R20" s="474">
        <v>0.8311871733291541</v>
      </c>
      <c r="S20" s="474">
        <v>0.7970803385962313</v>
      </c>
      <c r="T20" s="474">
        <v>0.7697450504970745</v>
      </c>
      <c r="U20" s="264">
        <v>918.73093</v>
      </c>
      <c r="V20" s="206">
        <v>0.969030844077298</v>
      </c>
      <c r="W20" s="206">
        <v>0.9646188737937065</v>
      </c>
      <c r="X20" s="206">
        <v>0.9589661199939904</v>
      </c>
      <c r="Y20" s="206">
        <v>0.9657057303065611</v>
      </c>
      <c r="Z20" s="206">
        <v>0.8656481959124386</v>
      </c>
      <c r="AA20" s="206"/>
      <c r="AB20" s="475">
        <v>-0.03542643157195968</v>
      </c>
    </row>
    <row r="21" spans="1:28" ht="4.5" customHeight="1">
      <c r="A21" s="471"/>
      <c r="B21" s="491"/>
      <c r="C21" s="474"/>
      <c r="D21" s="474"/>
      <c r="E21" s="474"/>
      <c r="F21" s="474"/>
      <c r="G21" s="240"/>
      <c r="H21" s="206"/>
      <c r="I21" s="206"/>
      <c r="J21" s="206"/>
      <c r="K21" s="206"/>
      <c r="L21" s="206"/>
      <c r="M21" s="206"/>
      <c r="N21" s="475"/>
      <c r="P21" s="491"/>
      <c r="Q21" s="474"/>
      <c r="R21" s="474"/>
      <c r="S21" s="474"/>
      <c r="T21" s="474"/>
      <c r="U21" s="264"/>
      <c r="V21" s="206"/>
      <c r="W21" s="206"/>
      <c r="X21" s="206"/>
      <c r="Y21" s="206"/>
      <c r="Z21" s="206"/>
      <c r="AA21" s="206"/>
      <c r="AB21" s="475"/>
    </row>
    <row r="22" spans="1:28" ht="12.75">
      <c r="A22" s="471" t="s">
        <v>26</v>
      </c>
      <c r="B22" s="491">
        <v>1.00357687309533</v>
      </c>
      <c r="C22" s="474">
        <v>0.9935430226210455</v>
      </c>
      <c r="D22" s="474">
        <v>0.912312819999791</v>
      </c>
      <c r="E22" s="474">
        <v>0.8917520713243117</v>
      </c>
      <c r="F22" s="474">
        <v>0.8835025130861544</v>
      </c>
      <c r="G22" s="240">
        <v>260.10264</v>
      </c>
      <c r="H22" s="206">
        <v>0.9900019114197629</v>
      </c>
      <c r="I22" s="206">
        <v>0.9182418870931599</v>
      </c>
      <c r="J22" s="206">
        <v>0.9774630497075729</v>
      </c>
      <c r="K22" s="206">
        <v>0.9954519106083669</v>
      </c>
      <c r="L22" s="206">
        <v>0.8845324428918283</v>
      </c>
      <c r="M22" s="206"/>
      <c r="N22" s="207">
        <v>-0.030208347385147438</v>
      </c>
      <c r="P22" s="491">
        <v>0.9989194155545799</v>
      </c>
      <c r="Q22" s="474">
        <v>0.9959136548331285</v>
      </c>
      <c r="R22" s="474">
        <v>0.9320248018590734</v>
      </c>
      <c r="S22" s="474">
        <v>0.8907412224192301</v>
      </c>
      <c r="T22" s="474">
        <v>0.881064306093024</v>
      </c>
      <c r="U22" s="438">
        <v>222.259226</v>
      </c>
      <c r="V22" s="206">
        <v>0.996990987786755</v>
      </c>
      <c r="W22" s="206">
        <v>0.9358490039131353</v>
      </c>
      <c r="X22" s="206">
        <v>0.9557054926462294</v>
      </c>
      <c r="Y22" s="206">
        <v>0.9891361081281005</v>
      </c>
      <c r="Z22" s="206">
        <v>0.8820174003764607</v>
      </c>
      <c r="AA22" s="206"/>
      <c r="AB22" s="475">
        <v>-0.03089844989555357</v>
      </c>
    </row>
    <row r="23" spans="1:28" ht="4.5" customHeight="1">
      <c r="A23" s="471"/>
      <c r="B23" s="491"/>
      <c r="C23" s="474"/>
      <c r="D23" s="474"/>
      <c r="E23" s="474"/>
      <c r="F23" s="474"/>
      <c r="G23" s="240"/>
      <c r="H23" s="206"/>
      <c r="I23" s="206"/>
      <c r="J23" s="206"/>
      <c r="K23" s="206"/>
      <c r="L23" s="206"/>
      <c r="M23" s="206"/>
      <c r="N23" s="207"/>
      <c r="P23" s="491"/>
      <c r="Q23" s="474"/>
      <c r="R23" s="474"/>
      <c r="S23" s="474"/>
      <c r="T23" s="474"/>
      <c r="U23" s="111"/>
      <c r="V23" s="206"/>
      <c r="W23" s="206"/>
      <c r="X23" s="206"/>
      <c r="Y23" s="206"/>
      <c r="Z23" s="206"/>
      <c r="AA23" s="206"/>
      <c r="AB23" s="207"/>
    </row>
    <row r="24" spans="1:28" ht="13.5" thickBot="1">
      <c r="A24" s="493" t="s">
        <v>84</v>
      </c>
      <c r="B24" s="494">
        <v>0.9056902923085994</v>
      </c>
      <c r="C24" s="481">
        <v>0.882463789179502</v>
      </c>
      <c r="D24" s="481">
        <v>0.8183770541881236</v>
      </c>
      <c r="E24" s="481">
        <v>0.8236453681770571</v>
      </c>
      <c r="F24" s="481">
        <v>0.797156933392894</v>
      </c>
      <c r="G24" s="482">
        <v>1415.0209949999999</v>
      </c>
      <c r="H24" s="496">
        <v>0.9743549165467003</v>
      </c>
      <c r="I24" s="496">
        <v>0.9273774904112893</v>
      </c>
      <c r="J24" s="496">
        <v>1.0064375142997626</v>
      </c>
      <c r="K24" s="496">
        <v>0.984450066862393</v>
      </c>
      <c r="L24" s="496">
        <v>0.8952704303653111</v>
      </c>
      <c r="M24" s="496"/>
      <c r="N24" s="498">
        <v>-0.02727839927577247</v>
      </c>
      <c r="P24" s="494">
        <v>0.9071211466738295</v>
      </c>
      <c r="Q24" s="481">
        <v>0.8840893531543434</v>
      </c>
      <c r="R24" s="481">
        <v>0.8484973289928602</v>
      </c>
      <c r="S24" s="481">
        <v>0.8128795343818918</v>
      </c>
      <c r="T24" s="481">
        <v>0.7891677648706975</v>
      </c>
      <c r="U24" s="482">
        <v>1140.9901559999998</v>
      </c>
      <c r="V24" s="496">
        <v>0.9746100136636242</v>
      </c>
      <c r="W24" s="496">
        <v>0.9597415984770155</v>
      </c>
      <c r="X24" s="496">
        <v>0.9580225023769424</v>
      </c>
      <c r="Y24" s="496">
        <v>0.9708299095889719</v>
      </c>
      <c r="Z24" s="496">
        <v>0.8699695379876927</v>
      </c>
      <c r="AA24" s="496"/>
      <c r="AB24" s="498">
        <v>-0.03422488341574814</v>
      </c>
    </row>
    <row r="25" ht="13.5" thickTop="1"/>
    <row r="26" spans="2:6" ht="23.25" customHeight="1">
      <c r="B26" s="711" t="s">
        <v>146</v>
      </c>
      <c r="C26" s="711"/>
      <c r="D26" s="711"/>
      <c r="E26" s="711"/>
      <c r="F26" s="711"/>
    </row>
  </sheetData>
  <sheetProtection/>
  <mergeCells count="17">
    <mergeCell ref="P17:AB17"/>
    <mergeCell ref="J1:R1"/>
    <mergeCell ref="A2:AB2"/>
    <mergeCell ref="A3:AB3"/>
    <mergeCell ref="A4:AB4"/>
    <mergeCell ref="A5:AB5"/>
    <mergeCell ref="A6:AB6"/>
    <mergeCell ref="B18:F18"/>
    <mergeCell ref="H18:L18"/>
    <mergeCell ref="V18:Z18"/>
    <mergeCell ref="B26:F26"/>
    <mergeCell ref="B8:N8"/>
    <mergeCell ref="P8:AB8"/>
    <mergeCell ref="B9:F9"/>
    <mergeCell ref="H9:L9"/>
    <mergeCell ref="V9:Z9"/>
    <mergeCell ref="B17:N17"/>
  </mergeCells>
  <printOptions/>
  <pageMargins left="0.75" right="0.75" top="1" bottom="1" header="0.5" footer="0.5"/>
  <pageSetup horizontalDpi="600" verticalDpi="600" orientation="landscape" scale="54" r:id="rId1"/>
  <headerFooter alignWithMargins="0">
    <oddFooter>&amp;L"&amp;F"&amp;R&amp;"Arial,Italic"&amp;A</oddFooter>
  </headerFooter>
</worksheet>
</file>

<file path=xl/worksheets/sheet21.xml><?xml version="1.0" encoding="utf-8"?>
<worksheet xmlns="http://schemas.openxmlformats.org/spreadsheetml/2006/main" xmlns:r="http://schemas.openxmlformats.org/officeDocument/2006/relationships">
  <dimension ref="A1:AD69"/>
  <sheetViews>
    <sheetView tabSelected="1" zoomScale="85" zoomScaleNormal="85" zoomScaleSheetLayoutView="85" zoomScalePageLayoutView="0" workbookViewId="0" topLeftCell="A1">
      <selection activeCell="K25" sqref="K25"/>
    </sheetView>
  </sheetViews>
  <sheetFormatPr defaultColWidth="9.140625" defaultRowHeight="12.75"/>
  <cols>
    <col min="1" max="1" width="10.57421875" style="609" bestFit="1" customWidth="1"/>
    <col min="2" max="3" width="8.140625" style="610" bestFit="1" customWidth="1"/>
    <col min="4" max="4" width="7.7109375" style="610" customWidth="1"/>
    <col min="5" max="5" width="8.8515625" style="610" customWidth="1"/>
    <col min="6" max="6" width="8.140625" style="610" bestFit="1" customWidth="1"/>
    <col min="7" max="7" width="11.8515625" style="610" customWidth="1"/>
    <col min="8" max="9" width="8.00390625" style="610" bestFit="1" customWidth="1"/>
    <col min="10" max="11" width="7.8515625" style="610" bestFit="1" customWidth="1"/>
    <col min="12" max="12" width="7.7109375" style="610" bestFit="1" customWidth="1"/>
    <col min="13" max="13" width="1.57421875" style="610" customWidth="1"/>
    <col min="14" max="14" width="11.140625" style="610" bestFit="1" customWidth="1"/>
    <col min="15" max="15" width="2.421875" style="610" customWidth="1"/>
    <col min="16" max="18" width="8.140625" style="610" bestFit="1" customWidth="1"/>
    <col min="19" max="19" width="7.8515625" style="610" bestFit="1" customWidth="1"/>
    <col min="20" max="20" width="8.140625" style="610" bestFit="1" customWidth="1"/>
    <col min="21" max="21" width="12.28125" style="610" bestFit="1" customWidth="1"/>
    <col min="22" max="25" width="7.8515625" style="610" bestFit="1" customWidth="1"/>
    <col min="26" max="26" width="6.7109375" style="610" bestFit="1" customWidth="1"/>
    <col min="27" max="27" width="1.57421875" style="610" customWidth="1"/>
    <col min="28" max="28" width="11.00390625" style="610" bestFit="1" customWidth="1"/>
    <col min="29" max="29" width="3.00390625" style="610" customWidth="1"/>
    <col min="30" max="16384" width="9.140625" style="610" customWidth="1"/>
  </cols>
  <sheetData>
    <row r="1" spans="10:16" ht="18.75" customHeight="1">
      <c r="J1" s="733" t="s">
        <v>98</v>
      </c>
      <c r="K1" s="733"/>
      <c r="L1" s="733"/>
      <c r="M1" s="733"/>
      <c r="N1" s="733"/>
      <c r="O1" s="733"/>
      <c r="P1" s="733"/>
    </row>
    <row r="2" spans="2:29" ht="18" customHeight="1">
      <c r="B2" s="611"/>
      <c r="C2" s="611"/>
      <c r="E2" s="611"/>
      <c r="F2" s="611"/>
      <c r="G2" s="611"/>
      <c r="H2" s="734" t="s">
        <v>94</v>
      </c>
      <c r="I2" s="734"/>
      <c r="J2" s="734"/>
      <c r="K2" s="734"/>
      <c r="L2" s="734"/>
      <c r="M2" s="734"/>
      <c r="N2" s="734"/>
      <c r="O2" s="734"/>
      <c r="P2" s="734"/>
      <c r="Q2" s="734"/>
      <c r="R2" s="734"/>
      <c r="S2" s="611"/>
      <c r="T2" s="611"/>
      <c r="U2" s="611"/>
      <c r="V2" s="611"/>
      <c r="W2" s="611"/>
      <c r="X2" s="611"/>
      <c r="Y2" s="611"/>
      <c r="Z2" s="611"/>
      <c r="AA2" s="611"/>
      <c r="AB2" s="611"/>
      <c r="AC2" s="611"/>
    </row>
    <row r="3" spans="2:27" ht="18" customHeight="1">
      <c r="B3" s="612"/>
      <c r="C3" s="612"/>
      <c r="E3" s="612"/>
      <c r="F3" s="612"/>
      <c r="G3" s="612"/>
      <c r="H3" s="612"/>
      <c r="I3" s="612"/>
      <c r="J3" s="735" t="s">
        <v>1</v>
      </c>
      <c r="K3" s="735"/>
      <c r="L3" s="735"/>
      <c r="M3" s="735"/>
      <c r="N3" s="735"/>
      <c r="O3" s="735"/>
      <c r="P3" s="735"/>
      <c r="Q3" s="612"/>
      <c r="R3" s="612"/>
      <c r="S3" s="612"/>
      <c r="T3" s="612"/>
      <c r="U3" s="612"/>
      <c r="V3" s="612"/>
      <c r="W3" s="612"/>
      <c r="X3" s="612"/>
      <c r="Y3" s="613"/>
      <c r="Z3" s="613"/>
      <c r="AA3" s="613"/>
    </row>
    <row r="4" spans="2:27" ht="18" customHeight="1">
      <c r="B4" s="612"/>
      <c r="C4" s="612"/>
      <c r="D4" s="732" t="s">
        <v>127</v>
      </c>
      <c r="E4" s="732"/>
      <c r="F4" s="732"/>
      <c r="G4" s="732"/>
      <c r="H4" s="732"/>
      <c r="I4" s="732"/>
      <c r="J4" s="732"/>
      <c r="K4" s="732"/>
      <c r="L4" s="732"/>
      <c r="M4" s="732"/>
      <c r="N4" s="732"/>
      <c r="O4" s="732"/>
      <c r="P4" s="732"/>
      <c r="Q4" s="732"/>
      <c r="R4" s="732"/>
      <c r="S4" s="732"/>
      <c r="T4" s="732"/>
      <c r="U4" s="732"/>
      <c r="V4" s="732"/>
      <c r="W4" s="732"/>
      <c r="X4" s="612"/>
      <c r="Y4" s="613"/>
      <c r="Z4" s="613"/>
      <c r="AA4" s="613"/>
    </row>
    <row r="5" spans="2:27" ht="18" customHeight="1">
      <c r="B5" s="614"/>
      <c r="C5" s="614"/>
      <c r="D5" s="732" t="s">
        <v>138</v>
      </c>
      <c r="E5" s="732"/>
      <c r="F5" s="732"/>
      <c r="G5" s="732"/>
      <c r="H5" s="732"/>
      <c r="I5" s="732"/>
      <c r="J5" s="732"/>
      <c r="K5" s="732"/>
      <c r="L5" s="732"/>
      <c r="M5" s="732"/>
      <c r="N5" s="732"/>
      <c r="O5" s="732"/>
      <c r="P5" s="732"/>
      <c r="Q5" s="732"/>
      <c r="R5" s="732"/>
      <c r="S5" s="732"/>
      <c r="T5" s="732"/>
      <c r="U5" s="732"/>
      <c r="V5" s="732"/>
      <c r="W5" s="732"/>
      <c r="X5" s="614"/>
      <c r="Y5" s="613"/>
      <c r="Z5" s="613"/>
      <c r="AA5" s="613"/>
    </row>
    <row r="6" spans="1:27" ht="18" customHeight="1">
      <c r="A6" s="736" t="s">
        <v>88</v>
      </c>
      <c r="B6" s="736"/>
      <c r="C6" s="736"/>
      <c r="D6" s="736"/>
      <c r="E6" s="736"/>
      <c r="F6" s="736"/>
      <c r="G6" s="736"/>
      <c r="H6" s="736"/>
      <c r="I6" s="736"/>
      <c r="J6" s="736"/>
      <c r="K6" s="736"/>
      <c r="L6" s="736"/>
      <c r="M6" s="736"/>
      <c r="N6" s="736"/>
      <c r="O6" s="736"/>
      <c r="P6" s="736"/>
      <c r="Q6" s="736"/>
      <c r="R6" s="736"/>
      <c r="S6" s="736"/>
      <c r="T6" s="736"/>
      <c r="U6" s="736"/>
      <c r="V6" s="736"/>
      <c r="W6" s="736"/>
      <c r="X6" s="736"/>
      <c r="Y6" s="736"/>
      <c r="Z6" s="613"/>
      <c r="AA6" s="613"/>
    </row>
    <row r="7" spans="2:27" ht="18" customHeight="1">
      <c r="B7" s="615"/>
      <c r="C7" s="615"/>
      <c r="D7" s="736" t="s">
        <v>184</v>
      </c>
      <c r="E7" s="736"/>
      <c r="F7" s="736"/>
      <c r="G7" s="736"/>
      <c r="H7" s="736"/>
      <c r="I7" s="736"/>
      <c r="J7" s="736"/>
      <c r="K7" s="736"/>
      <c r="L7" s="736"/>
      <c r="M7" s="736"/>
      <c r="N7" s="736"/>
      <c r="O7" s="736"/>
      <c r="P7" s="736"/>
      <c r="Q7" s="736"/>
      <c r="R7" s="736"/>
      <c r="S7" s="736"/>
      <c r="T7" s="736"/>
      <c r="U7" s="736"/>
      <c r="V7" s="736"/>
      <c r="W7" s="736"/>
      <c r="X7" s="613"/>
      <c r="Y7" s="613"/>
      <c r="Z7" s="613"/>
      <c r="AA7" s="613"/>
    </row>
    <row r="8" spans="1:28" ht="18" customHeight="1">
      <c r="A8" s="616"/>
      <c r="B8" s="729" t="s">
        <v>268</v>
      </c>
      <c r="C8" s="729"/>
      <c r="D8" s="729"/>
      <c r="E8" s="729"/>
      <c r="F8" s="729"/>
      <c r="G8" s="729"/>
      <c r="H8" s="729"/>
      <c r="I8" s="729"/>
      <c r="J8" s="729"/>
      <c r="K8" s="729"/>
      <c r="L8" s="729"/>
      <c r="M8" s="729"/>
      <c r="N8" s="729"/>
      <c r="O8" s="616"/>
      <c r="P8" s="729" t="s">
        <v>269</v>
      </c>
      <c r="Q8" s="729"/>
      <c r="R8" s="729"/>
      <c r="S8" s="729"/>
      <c r="T8" s="729"/>
      <c r="U8" s="729"/>
      <c r="V8" s="729"/>
      <c r="W8" s="729"/>
      <c r="X8" s="729"/>
      <c r="Y8" s="729"/>
      <c r="Z8" s="729"/>
      <c r="AA8" s="729"/>
      <c r="AB8" s="729"/>
    </row>
    <row r="9" spans="1:28" ht="27">
      <c r="A9" s="617"/>
      <c r="B9" s="730" t="s">
        <v>81</v>
      </c>
      <c r="C9" s="726"/>
      <c r="D9" s="726"/>
      <c r="E9" s="726"/>
      <c r="F9" s="726"/>
      <c r="G9" s="618" t="s">
        <v>128</v>
      </c>
      <c r="H9" s="726" t="s">
        <v>143</v>
      </c>
      <c r="I9" s="726"/>
      <c r="J9" s="726"/>
      <c r="K9" s="726"/>
      <c r="L9" s="726"/>
      <c r="M9" s="618"/>
      <c r="N9" s="619" t="s">
        <v>265</v>
      </c>
      <c r="P9" s="730" t="s">
        <v>81</v>
      </c>
      <c r="Q9" s="726"/>
      <c r="R9" s="726"/>
      <c r="S9" s="726"/>
      <c r="T9" s="726"/>
      <c r="U9" s="618" t="s">
        <v>128</v>
      </c>
      <c r="V9" s="726" t="s">
        <v>143</v>
      </c>
      <c r="W9" s="726"/>
      <c r="X9" s="726"/>
      <c r="Y9" s="726"/>
      <c r="Z9" s="726"/>
      <c r="AA9" s="618"/>
      <c r="AB9" s="619" t="s">
        <v>265</v>
      </c>
    </row>
    <row r="10" spans="1:28" ht="12.75">
      <c r="A10" s="609" t="s">
        <v>11</v>
      </c>
      <c r="B10" s="620">
        <v>2003</v>
      </c>
      <c r="C10" s="621">
        <v>2004</v>
      </c>
      <c r="D10" s="621">
        <v>2005</v>
      </c>
      <c r="E10" s="621">
        <v>2006</v>
      </c>
      <c r="F10" s="621">
        <v>2007</v>
      </c>
      <c r="G10" s="621">
        <v>2007</v>
      </c>
      <c r="H10" s="622" t="s">
        <v>89</v>
      </c>
      <c r="I10" s="623" t="s">
        <v>90</v>
      </c>
      <c r="J10" s="623" t="s">
        <v>91</v>
      </c>
      <c r="K10" s="623" t="s">
        <v>92</v>
      </c>
      <c r="L10" s="623" t="s">
        <v>93</v>
      </c>
      <c r="M10" s="623"/>
      <c r="N10" s="624" t="s">
        <v>93</v>
      </c>
      <c r="P10" s="620">
        <v>2003</v>
      </c>
      <c r="Q10" s="621">
        <v>2004</v>
      </c>
      <c r="R10" s="621">
        <v>2005</v>
      </c>
      <c r="S10" s="621">
        <v>2006</v>
      </c>
      <c r="T10" s="621">
        <v>2007</v>
      </c>
      <c r="U10" s="621">
        <v>2007</v>
      </c>
      <c r="V10" s="622" t="s">
        <v>89</v>
      </c>
      <c r="W10" s="623" t="s">
        <v>90</v>
      </c>
      <c r="X10" s="623" t="s">
        <v>91</v>
      </c>
      <c r="Y10" s="623" t="s">
        <v>92</v>
      </c>
      <c r="Z10" s="623" t="s">
        <v>93</v>
      </c>
      <c r="AA10" s="623"/>
      <c r="AB10" s="624" t="s">
        <v>93</v>
      </c>
    </row>
    <row r="11" spans="1:28" s="629" customFormat="1" ht="12.75">
      <c r="A11" s="625" t="s">
        <v>95</v>
      </c>
      <c r="B11" s="626">
        <v>0.717672395237841</v>
      </c>
      <c r="C11" s="627">
        <v>0.6453021581976689</v>
      </c>
      <c r="D11" s="627">
        <v>0.6495899815847762</v>
      </c>
      <c r="E11" s="627">
        <v>0.6319111912053392</v>
      </c>
      <c r="F11" s="627">
        <v>0.6238610408428609</v>
      </c>
      <c r="G11" s="571">
        <v>3004</v>
      </c>
      <c r="H11" s="564">
        <v>0.8991597872227088</v>
      </c>
      <c r="I11" s="564">
        <v>1.006644675416991</v>
      </c>
      <c r="J11" s="564">
        <v>0.972784693605793</v>
      </c>
      <c r="K11" s="564">
        <v>0.9872606301731687</v>
      </c>
      <c r="L11" s="564">
        <v>0.8692838751811117</v>
      </c>
      <c r="M11" s="564"/>
      <c r="N11" s="628">
        <v>-0.03441523257546186</v>
      </c>
      <c r="P11" s="626">
        <v>0.703027553398131</v>
      </c>
      <c r="Q11" s="627">
        <v>0.6438812220489466</v>
      </c>
      <c r="R11" s="627">
        <v>0.6424812889290116</v>
      </c>
      <c r="S11" s="627">
        <v>0.5962815590516077</v>
      </c>
      <c r="T11" s="627">
        <v>0.6066160123653296</v>
      </c>
      <c r="U11" s="571">
        <v>2115</v>
      </c>
      <c r="V11" s="564">
        <v>0.9158691134319037</v>
      </c>
      <c r="W11" s="564">
        <v>0.9978257898009819</v>
      </c>
      <c r="X11" s="564">
        <v>0.9280917115042887</v>
      </c>
      <c r="Y11" s="564">
        <v>1.017331499116221</v>
      </c>
      <c r="Z11" s="564">
        <v>0.8628623578595322</v>
      </c>
      <c r="AA11" s="564"/>
      <c r="AB11" s="628">
        <v>-0.03620342007348132</v>
      </c>
    </row>
    <row r="12" spans="1:28" s="629" customFormat="1" ht="4.5" customHeight="1">
      <c r="A12" s="625"/>
      <c r="B12" s="626"/>
      <c r="C12" s="627"/>
      <c r="D12" s="627"/>
      <c r="E12" s="627"/>
      <c r="F12" s="627"/>
      <c r="G12" s="571"/>
      <c r="H12" s="564"/>
      <c r="I12" s="564"/>
      <c r="J12" s="564"/>
      <c r="K12" s="564"/>
      <c r="L12" s="564"/>
      <c r="M12" s="564"/>
      <c r="N12" s="628"/>
      <c r="P12" s="626"/>
      <c r="Q12" s="627"/>
      <c r="R12" s="627"/>
      <c r="S12" s="627"/>
      <c r="T12" s="627"/>
      <c r="U12" s="571"/>
      <c r="V12" s="564"/>
      <c r="W12" s="564"/>
      <c r="X12" s="564"/>
      <c r="Y12" s="564"/>
      <c r="Z12" s="564"/>
      <c r="AA12" s="564"/>
      <c r="AB12" s="628"/>
    </row>
    <row r="13" spans="1:28" s="629" customFormat="1" ht="12.75">
      <c r="A13" s="625" t="s">
        <v>20</v>
      </c>
      <c r="B13" s="626">
        <v>0.662547464956406</v>
      </c>
      <c r="C13" s="627">
        <v>0.662752425803039</v>
      </c>
      <c r="D13" s="627">
        <v>0.6170385205228338</v>
      </c>
      <c r="E13" s="627">
        <v>0.6170107599812976</v>
      </c>
      <c r="F13" s="627">
        <v>0.5910780988556142</v>
      </c>
      <c r="G13" s="571">
        <v>3322</v>
      </c>
      <c r="H13" s="627">
        <v>1.0003093526992008</v>
      </c>
      <c r="I13" s="627">
        <v>0.9310241600024098</v>
      </c>
      <c r="J13" s="627">
        <v>0.9999550100348473</v>
      </c>
      <c r="K13" s="627">
        <v>0.95797048802444</v>
      </c>
      <c r="L13" s="627">
        <v>0.8921294399556803</v>
      </c>
      <c r="M13" s="627"/>
      <c r="N13" s="630">
        <v>-0.028132704609057035</v>
      </c>
      <c r="P13" s="626">
        <v>0.6893333242784997</v>
      </c>
      <c r="Q13" s="627">
        <v>0.676274362232865</v>
      </c>
      <c r="R13" s="627">
        <v>0.5934817303610441</v>
      </c>
      <c r="S13" s="627">
        <v>0.6009114530869346</v>
      </c>
      <c r="T13" s="627">
        <v>0.5604698018012922</v>
      </c>
      <c r="U13" s="572">
        <v>2254</v>
      </c>
      <c r="V13" s="627">
        <v>0.9810556640950109</v>
      </c>
      <c r="W13" s="627">
        <v>0.8775753799116927</v>
      </c>
      <c r="X13" s="627">
        <v>1.0125188735319124</v>
      </c>
      <c r="Y13" s="627">
        <v>0.9326994832967651</v>
      </c>
      <c r="Z13" s="627">
        <v>0.8130606515910366</v>
      </c>
      <c r="AA13" s="627"/>
      <c r="AB13" s="630">
        <v>-0.05042179954301307</v>
      </c>
    </row>
    <row r="14" spans="1:28" s="629" customFormat="1" ht="4.5" customHeight="1">
      <c r="A14" s="625"/>
      <c r="B14" s="626"/>
      <c r="C14" s="627"/>
      <c r="D14" s="627"/>
      <c r="E14" s="627"/>
      <c r="F14" s="627"/>
      <c r="G14" s="571"/>
      <c r="H14" s="627"/>
      <c r="I14" s="627"/>
      <c r="J14" s="627"/>
      <c r="K14" s="627"/>
      <c r="L14" s="627"/>
      <c r="M14" s="627"/>
      <c r="N14" s="630"/>
      <c r="P14" s="626"/>
      <c r="Q14" s="627"/>
      <c r="R14" s="627"/>
      <c r="S14" s="627"/>
      <c r="T14" s="627"/>
      <c r="U14" s="572"/>
      <c r="V14" s="627"/>
      <c r="W14" s="627"/>
      <c r="X14" s="627"/>
      <c r="Y14" s="627"/>
      <c r="Z14" s="627"/>
      <c r="AA14" s="627"/>
      <c r="AB14" s="630"/>
    </row>
    <row r="15" spans="1:28" s="629" customFormat="1" ht="12.75">
      <c r="A15" s="625" t="s">
        <v>21</v>
      </c>
      <c r="B15" s="626">
        <v>0.690982951378116</v>
      </c>
      <c r="C15" s="627">
        <v>0.6717880791184593</v>
      </c>
      <c r="D15" s="627">
        <v>0.6454071350745635</v>
      </c>
      <c r="E15" s="627">
        <v>0.6203310391080078</v>
      </c>
      <c r="F15" s="627">
        <v>0.598796762357038</v>
      </c>
      <c r="G15" s="571">
        <v>3361</v>
      </c>
      <c r="H15" s="627">
        <v>0.97222091772109</v>
      </c>
      <c r="I15" s="627">
        <v>0.9607302587469048</v>
      </c>
      <c r="J15" s="627">
        <v>0.961146856606011</v>
      </c>
      <c r="K15" s="627">
        <v>0.9652858306398233</v>
      </c>
      <c r="L15" s="627">
        <v>0.8665868834575162</v>
      </c>
      <c r="M15" s="627"/>
      <c r="N15" s="630">
        <v>-0.035165047892665835</v>
      </c>
      <c r="P15" s="626">
        <v>0.70621025149901</v>
      </c>
      <c r="Q15" s="627">
        <v>0.6629854047469254</v>
      </c>
      <c r="R15" s="627">
        <v>0.6231365615480632</v>
      </c>
      <c r="S15" s="627">
        <v>0.600629951973562</v>
      </c>
      <c r="T15" s="627">
        <v>0.5960926192069782</v>
      </c>
      <c r="U15" s="572">
        <v>2450</v>
      </c>
      <c r="V15" s="627">
        <v>0.9387932323832243</v>
      </c>
      <c r="W15" s="627">
        <v>0.9398948409519313</v>
      </c>
      <c r="X15" s="627">
        <v>0.9638817380277159</v>
      </c>
      <c r="Y15" s="627">
        <v>0.9924457101220562</v>
      </c>
      <c r="Z15" s="627">
        <v>0.8440724528448932</v>
      </c>
      <c r="AA15" s="627"/>
      <c r="AB15" s="630">
        <v>-0.04149378829647521</v>
      </c>
    </row>
    <row r="16" spans="1:28" s="629" customFormat="1" ht="4.5" customHeight="1">
      <c r="A16" s="625"/>
      <c r="B16" s="626"/>
      <c r="C16" s="627"/>
      <c r="D16" s="627"/>
      <c r="E16" s="627"/>
      <c r="F16" s="627"/>
      <c r="G16" s="571"/>
      <c r="H16" s="627"/>
      <c r="I16" s="627"/>
      <c r="J16" s="627"/>
      <c r="K16" s="627"/>
      <c r="L16" s="627"/>
      <c r="M16" s="627"/>
      <c r="N16" s="630"/>
      <c r="P16" s="626"/>
      <c r="Q16" s="627"/>
      <c r="R16" s="627"/>
      <c r="S16" s="627"/>
      <c r="T16" s="627"/>
      <c r="U16" s="572"/>
      <c r="V16" s="627"/>
      <c r="W16" s="627"/>
      <c r="X16" s="627"/>
      <c r="Y16" s="627"/>
      <c r="Z16" s="627"/>
      <c r="AA16" s="627"/>
      <c r="AB16" s="630"/>
    </row>
    <row r="17" spans="1:28" s="629" customFormat="1" ht="12.75">
      <c r="A17" s="625" t="s">
        <v>22</v>
      </c>
      <c r="B17" s="626">
        <v>0.7739094852698528</v>
      </c>
      <c r="C17" s="627">
        <v>0.7214184166670123</v>
      </c>
      <c r="D17" s="627">
        <v>0.7366983964461018</v>
      </c>
      <c r="E17" s="627">
        <v>0.7280607352240442</v>
      </c>
      <c r="F17" s="627">
        <v>0.6861483738566592</v>
      </c>
      <c r="G17" s="571">
        <v>2230</v>
      </c>
      <c r="H17" s="627">
        <v>0.9321741500757837</v>
      </c>
      <c r="I17" s="627">
        <v>1.021180468125119</v>
      </c>
      <c r="J17" s="627">
        <v>0.9882751730372614</v>
      </c>
      <c r="K17" s="627">
        <v>0.942432877726214</v>
      </c>
      <c r="L17" s="627">
        <v>0.8866002897191622</v>
      </c>
      <c r="M17" s="627"/>
      <c r="N17" s="630">
        <v>-0.029642052461234192</v>
      </c>
      <c r="P17" s="626">
        <v>0.7925950804906343</v>
      </c>
      <c r="Q17" s="627">
        <v>0.7393789684785512</v>
      </c>
      <c r="R17" s="627">
        <v>0.7343112262712624</v>
      </c>
      <c r="S17" s="627">
        <v>0.7284254898725339</v>
      </c>
      <c r="T17" s="627">
        <v>0.6635728558106938</v>
      </c>
      <c r="U17" s="572">
        <v>1632</v>
      </c>
      <c r="V17" s="627">
        <v>0.9328583871866312</v>
      </c>
      <c r="W17" s="627">
        <v>0.9931459475812291</v>
      </c>
      <c r="X17" s="627">
        <v>0.9919846841663914</v>
      </c>
      <c r="Y17" s="627">
        <v>0.9109687470256038</v>
      </c>
      <c r="Z17" s="627">
        <v>0.837215461140545</v>
      </c>
      <c r="AA17" s="627"/>
      <c r="AB17" s="630">
        <v>-0.043446401139148216</v>
      </c>
    </row>
    <row r="18" spans="1:28" s="629" customFormat="1" ht="4.5" customHeight="1">
      <c r="A18" s="625"/>
      <c r="B18" s="626"/>
      <c r="C18" s="627"/>
      <c r="D18" s="627"/>
      <c r="E18" s="627"/>
      <c r="F18" s="627"/>
      <c r="G18" s="571"/>
      <c r="H18" s="627"/>
      <c r="I18" s="627"/>
      <c r="J18" s="627"/>
      <c r="K18" s="627"/>
      <c r="L18" s="627"/>
      <c r="M18" s="627"/>
      <c r="N18" s="630"/>
      <c r="P18" s="626"/>
      <c r="Q18" s="627"/>
      <c r="R18" s="627"/>
      <c r="S18" s="627"/>
      <c r="T18" s="627"/>
      <c r="U18" s="572"/>
      <c r="V18" s="627"/>
      <c r="W18" s="627"/>
      <c r="X18" s="627"/>
      <c r="Y18" s="627"/>
      <c r="Z18" s="627"/>
      <c r="AA18" s="627"/>
      <c r="AB18" s="630"/>
    </row>
    <row r="19" spans="1:28" s="629" customFormat="1" ht="12.75">
      <c r="A19" s="631" t="s">
        <v>96</v>
      </c>
      <c r="B19" s="632">
        <v>0.8471014337090401</v>
      </c>
      <c r="C19" s="633">
        <v>0.7961216406724143</v>
      </c>
      <c r="D19" s="633">
        <v>0.7433369468534977</v>
      </c>
      <c r="E19" s="633">
        <v>0.7888312047965942</v>
      </c>
      <c r="F19" s="633">
        <v>0.7935564750144575</v>
      </c>
      <c r="G19" s="634">
        <v>744</v>
      </c>
      <c r="H19" s="633">
        <v>0.9398185494582267</v>
      </c>
      <c r="I19" s="633">
        <v>0.9336977025592044</v>
      </c>
      <c r="J19" s="633">
        <v>1.0612027400705306</v>
      </c>
      <c r="K19" s="633">
        <v>1.0059902171581583</v>
      </c>
      <c r="L19" s="633">
        <v>0.9367903812178247</v>
      </c>
      <c r="M19" s="633"/>
      <c r="N19" s="635">
        <v>-0.016191420235070697</v>
      </c>
      <c r="P19" s="632">
        <v>0.886861384166133</v>
      </c>
      <c r="Q19" s="633">
        <v>0.8720756280059743</v>
      </c>
      <c r="R19" s="633">
        <v>0.8051262029088673</v>
      </c>
      <c r="S19" s="633">
        <v>0.7585071762159794</v>
      </c>
      <c r="T19" s="633">
        <v>0.8052370576785339</v>
      </c>
      <c r="U19" s="636">
        <v>568</v>
      </c>
      <c r="V19" s="633">
        <v>0.9833279964331055</v>
      </c>
      <c r="W19" s="633">
        <v>0.9232297945876681</v>
      </c>
      <c r="X19" s="633">
        <v>0.9420972432340962</v>
      </c>
      <c r="Y19" s="633">
        <v>1.0616076985529384</v>
      </c>
      <c r="Z19" s="633">
        <v>0.9079627008854986</v>
      </c>
      <c r="AA19" s="633"/>
      <c r="AB19" s="635">
        <v>-0.023849003382362177</v>
      </c>
    </row>
    <row r="20" spans="1:28" s="629" customFormat="1" ht="4.5" customHeight="1">
      <c r="A20" s="625"/>
      <c r="B20" s="626"/>
      <c r="C20" s="627"/>
      <c r="D20" s="627"/>
      <c r="E20" s="627"/>
      <c r="F20" s="627"/>
      <c r="G20" s="571"/>
      <c r="H20" s="627"/>
      <c r="I20" s="627"/>
      <c r="J20" s="627"/>
      <c r="K20" s="627"/>
      <c r="L20" s="627"/>
      <c r="M20" s="627"/>
      <c r="N20" s="630"/>
      <c r="P20" s="626"/>
      <c r="Q20" s="627"/>
      <c r="R20" s="627"/>
      <c r="S20" s="627"/>
      <c r="T20" s="627"/>
      <c r="U20" s="572"/>
      <c r="V20" s="627"/>
      <c r="W20" s="627"/>
      <c r="X20" s="627"/>
      <c r="Y20" s="627"/>
      <c r="Z20" s="627"/>
      <c r="AA20" s="627"/>
      <c r="AB20" s="630"/>
    </row>
    <row r="21" spans="1:30" ht="13.5" thickBot="1">
      <c r="A21" s="637" t="s">
        <v>84</v>
      </c>
      <c r="B21" s="638">
        <v>0.7117634962383992</v>
      </c>
      <c r="C21" s="639">
        <v>0.6781067926400418</v>
      </c>
      <c r="D21" s="639">
        <v>0.6604297168006855</v>
      </c>
      <c r="E21" s="639">
        <v>0.6471595376781832</v>
      </c>
      <c r="F21" s="639">
        <v>0.6256697964795481</v>
      </c>
      <c r="G21" s="640">
        <v>12661</v>
      </c>
      <c r="H21" s="639">
        <v>0.9527136418540291</v>
      </c>
      <c r="I21" s="639">
        <v>0.9739317228035205</v>
      </c>
      <c r="J21" s="639">
        <v>0.9834192521315795</v>
      </c>
      <c r="K21" s="639">
        <v>0.966406665278807</v>
      </c>
      <c r="L21" s="639">
        <v>0.8818394397021327</v>
      </c>
      <c r="M21" s="639"/>
      <c r="N21" s="641">
        <v>-0.03094733640721392</v>
      </c>
      <c r="P21" s="642">
        <v>0.7226839129299533</v>
      </c>
      <c r="Q21" s="643">
        <v>0.6840267717308423</v>
      </c>
      <c r="R21" s="643">
        <v>0.6463285238127838</v>
      </c>
      <c r="S21" s="643">
        <v>0.6280839119378299</v>
      </c>
      <c r="T21" s="643">
        <v>0.6100895251416646</v>
      </c>
      <c r="U21" s="644">
        <v>9019</v>
      </c>
      <c r="V21" s="639">
        <v>0.9465089224936741</v>
      </c>
      <c r="W21" s="639">
        <v>0.9448877595497208</v>
      </c>
      <c r="X21" s="639">
        <v>0.9717719221684255</v>
      </c>
      <c r="Y21" s="639">
        <v>0.9713503459423962</v>
      </c>
      <c r="Z21" s="639">
        <v>0.8441996759941687</v>
      </c>
      <c r="AA21" s="639"/>
      <c r="AB21" s="641">
        <v>-0.041457672532207446</v>
      </c>
      <c r="AD21" s="629"/>
    </row>
    <row r="22" spans="1:30" ht="13.5" thickTop="1">
      <c r="A22" s="625"/>
      <c r="B22" s="645"/>
      <c r="C22" s="645"/>
      <c r="D22" s="646"/>
      <c r="E22" s="646"/>
      <c r="F22" s="646"/>
      <c r="G22" s="646"/>
      <c r="H22" s="646"/>
      <c r="I22" s="646"/>
      <c r="J22" s="646"/>
      <c r="K22" s="646"/>
      <c r="L22" s="646"/>
      <c r="M22" s="646"/>
      <c r="N22" s="646"/>
      <c r="P22" s="646"/>
      <c r="Q22" s="646"/>
      <c r="R22" s="646"/>
      <c r="AD22" s="629"/>
    </row>
    <row r="23" spans="1:30" ht="12.75">
      <c r="A23" s="625"/>
      <c r="B23" s="727" t="s">
        <v>259</v>
      </c>
      <c r="C23" s="727"/>
      <c r="D23" s="727"/>
      <c r="E23" s="727"/>
      <c r="F23" s="727"/>
      <c r="G23" s="727"/>
      <c r="H23" s="727"/>
      <c r="I23" s="727"/>
      <c r="J23" s="727"/>
      <c r="K23" s="727"/>
      <c r="L23" s="727"/>
      <c r="M23" s="727"/>
      <c r="N23" s="727"/>
      <c r="P23" s="728" t="s">
        <v>260</v>
      </c>
      <c r="Q23" s="728"/>
      <c r="R23" s="728"/>
      <c r="S23" s="728"/>
      <c r="T23" s="728"/>
      <c r="U23" s="728"/>
      <c r="V23" s="728"/>
      <c r="W23" s="728"/>
      <c r="X23" s="728"/>
      <c r="Y23" s="728"/>
      <c r="Z23" s="728"/>
      <c r="AA23" s="728"/>
      <c r="AB23" s="728"/>
      <c r="AD23" s="629"/>
    </row>
    <row r="24" spans="1:30" s="648" customFormat="1" ht="27">
      <c r="A24" s="647"/>
      <c r="B24" s="730" t="s">
        <v>81</v>
      </c>
      <c r="C24" s="726"/>
      <c r="D24" s="726"/>
      <c r="E24" s="726"/>
      <c r="F24" s="726"/>
      <c r="G24" s="618" t="s">
        <v>129</v>
      </c>
      <c r="H24" s="726" t="s">
        <v>143</v>
      </c>
      <c r="I24" s="726"/>
      <c r="J24" s="726"/>
      <c r="K24" s="726"/>
      <c r="L24" s="726"/>
      <c r="M24" s="618"/>
      <c r="N24" s="619" t="s">
        <v>265</v>
      </c>
      <c r="P24" s="730" t="s">
        <v>81</v>
      </c>
      <c r="Q24" s="726"/>
      <c r="R24" s="726"/>
      <c r="S24" s="726"/>
      <c r="T24" s="726"/>
      <c r="U24" s="618" t="s">
        <v>129</v>
      </c>
      <c r="V24" s="726" t="s">
        <v>143</v>
      </c>
      <c r="W24" s="726"/>
      <c r="X24" s="726"/>
      <c r="Y24" s="726"/>
      <c r="Z24" s="726"/>
      <c r="AA24" s="618"/>
      <c r="AB24" s="619" t="s">
        <v>265</v>
      </c>
      <c r="AD24" s="629"/>
    </row>
    <row r="25" spans="1:30" ht="12.75">
      <c r="A25" s="609" t="s">
        <v>11</v>
      </c>
      <c r="B25" s="620">
        <v>2003</v>
      </c>
      <c r="C25" s="621">
        <v>2004</v>
      </c>
      <c r="D25" s="621">
        <v>2005</v>
      </c>
      <c r="E25" s="621">
        <v>2006</v>
      </c>
      <c r="F25" s="621">
        <v>2007</v>
      </c>
      <c r="G25" s="621">
        <v>2007</v>
      </c>
      <c r="H25" s="622" t="s">
        <v>89</v>
      </c>
      <c r="I25" s="623" t="s">
        <v>90</v>
      </c>
      <c r="J25" s="623" t="s">
        <v>91</v>
      </c>
      <c r="K25" s="623" t="s">
        <v>92</v>
      </c>
      <c r="L25" s="623" t="s">
        <v>93</v>
      </c>
      <c r="M25" s="623"/>
      <c r="N25" s="624" t="s">
        <v>93</v>
      </c>
      <c r="O25" s="649"/>
      <c r="P25" s="620">
        <v>2003</v>
      </c>
      <c r="Q25" s="621">
        <v>2004</v>
      </c>
      <c r="R25" s="621">
        <v>2005</v>
      </c>
      <c r="S25" s="621">
        <v>2006</v>
      </c>
      <c r="T25" s="621">
        <v>2007</v>
      </c>
      <c r="U25" s="621">
        <v>2007</v>
      </c>
      <c r="V25" s="622" t="s">
        <v>89</v>
      </c>
      <c r="W25" s="623" t="s">
        <v>90</v>
      </c>
      <c r="X25" s="623" t="s">
        <v>91</v>
      </c>
      <c r="Y25" s="623" t="s">
        <v>92</v>
      </c>
      <c r="Z25" s="623" t="s">
        <v>93</v>
      </c>
      <c r="AA25" s="623"/>
      <c r="AB25" s="624" t="s">
        <v>93</v>
      </c>
      <c r="AD25" s="629"/>
    </row>
    <row r="26" spans="1:30" ht="12.75">
      <c r="A26" s="625" t="s">
        <v>95</v>
      </c>
      <c r="B26" s="626">
        <v>0.6739181628685854</v>
      </c>
      <c r="C26" s="650">
        <v>0.5958790162891283</v>
      </c>
      <c r="D26" s="650">
        <v>0.6043910374689693</v>
      </c>
      <c r="E26" s="627">
        <v>0.6050746409208698</v>
      </c>
      <c r="F26" s="627">
        <v>0.5934862116230224</v>
      </c>
      <c r="G26" s="651">
        <v>728.5464649999999</v>
      </c>
      <c r="H26" s="564">
        <v>0.8842008557132852</v>
      </c>
      <c r="I26" s="564">
        <v>1.0142848144458083</v>
      </c>
      <c r="J26" s="564">
        <v>1.0011310615305669</v>
      </c>
      <c r="K26" s="564">
        <v>0.9808479342644225</v>
      </c>
      <c r="L26" s="564">
        <v>0.8806502693098549</v>
      </c>
      <c r="M26" s="564"/>
      <c r="N26" s="628">
        <v>-0.03127419634518691</v>
      </c>
      <c r="P26" s="626">
        <v>0.6734706899553016</v>
      </c>
      <c r="Q26" s="627">
        <v>0.6006945624418971</v>
      </c>
      <c r="R26" s="650">
        <v>0.5963460950460169</v>
      </c>
      <c r="S26" s="650">
        <v>0.5579673522103805</v>
      </c>
      <c r="T26" s="650">
        <v>0.5782581367627391</v>
      </c>
      <c r="U26" s="565">
        <v>499.111978</v>
      </c>
      <c r="V26" s="564">
        <v>0.8919386862726949</v>
      </c>
      <c r="W26" s="564">
        <v>0.9927609343121017</v>
      </c>
      <c r="X26" s="564">
        <v>0.9356435077642709</v>
      </c>
      <c r="Y26" s="564">
        <v>1.0363655408725563</v>
      </c>
      <c r="Z26" s="564">
        <v>0.858624058013747</v>
      </c>
      <c r="AA26" s="564"/>
      <c r="AB26" s="628">
        <v>-0.03738912618833079</v>
      </c>
      <c r="AD26" s="629"/>
    </row>
    <row r="27" spans="1:28" ht="4.5" customHeight="1">
      <c r="A27" s="625"/>
      <c r="B27" s="626"/>
      <c r="C27" s="650"/>
      <c r="D27" s="650"/>
      <c r="G27" s="651"/>
      <c r="H27" s="627"/>
      <c r="I27" s="627"/>
      <c r="J27" s="627"/>
      <c r="K27" s="627"/>
      <c r="L27" s="627"/>
      <c r="M27" s="627"/>
      <c r="N27" s="630"/>
      <c r="P27" s="626"/>
      <c r="Q27" s="627"/>
      <c r="R27" s="650"/>
      <c r="S27" s="650"/>
      <c r="T27" s="650"/>
      <c r="U27" s="565"/>
      <c r="V27" s="627"/>
      <c r="W27" s="627"/>
      <c r="X27" s="627"/>
      <c r="Y27" s="627"/>
      <c r="Z27" s="627"/>
      <c r="AA27" s="627"/>
      <c r="AB27" s="630"/>
    </row>
    <row r="28" spans="1:28" ht="12.75">
      <c r="A28" s="625" t="s">
        <v>20</v>
      </c>
      <c r="B28" s="626">
        <v>0.63701508565382</v>
      </c>
      <c r="C28" s="650">
        <v>0.6198727712086636</v>
      </c>
      <c r="D28" s="650">
        <v>0.5748142399574976</v>
      </c>
      <c r="E28" s="627">
        <v>0.604240476373747</v>
      </c>
      <c r="F28" s="627">
        <v>0.5551297258169113</v>
      </c>
      <c r="G28" s="651">
        <v>879.93488</v>
      </c>
      <c r="H28" s="627">
        <v>0.9730896256129289</v>
      </c>
      <c r="I28" s="627">
        <v>0.9273100330519305</v>
      </c>
      <c r="J28" s="627">
        <v>1.0511926016628002</v>
      </c>
      <c r="K28" s="627">
        <v>0.9187231698684504</v>
      </c>
      <c r="L28" s="627">
        <v>0.8714545986727094</v>
      </c>
      <c r="M28" s="627"/>
      <c r="N28" s="630">
        <v>-0.033812996158987696</v>
      </c>
      <c r="P28" s="626">
        <v>0.6535092779853435</v>
      </c>
      <c r="Q28" s="627">
        <v>0.6468227718011523</v>
      </c>
      <c r="R28" s="650">
        <v>0.555532088754013</v>
      </c>
      <c r="S28" s="650">
        <v>0.5959569430651149</v>
      </c>
      <c r="T28" s="650">
        <v>0.5303264194672495</v>
      </c>
      <c r="U28" s="565">
        <v>589.306982</v>
      </c>
      <c r="V28" s="627">
        <v>0.9897683071848581</v>
      </c>
      <c r="W28" s="627">
        <v>0.8588629110986153</v>
      </c>
      <c r="X28" s="627">
        <v>1.072767811490007</v>
      </c>
      <c r="Y28" s="627">
        <v>0.8898737159427731</v>
      </c>
      <c r="Z28" s="627">
        <v>0.8115055705133283</v>
      </c>
      <c r="AA28" s="627"/>
      <c r="AB28" s="630">
        <v>-0.050876172593649405</v>
      </c>
    </row>
    <row r="29" spans="1:28" ht="4.5" customHeight="1">
      <c r="A29" s="625"/>
      <c r="B29" s="626"/>
      <c r="C29" s="650"/>
      <c r="D29" s="650"/>
      <c r="G29" s="651"/>
      <c r="H29" s="627"/>
      <c r="I29" s="627"/>
      <c r="J29" s="627"/>
      <c r="K29" s="627"/>
      <c r="L29" s="627"/>
      <c r="M29" s="627"/>
      <c r="N29" s="630"/>
      <c r="P29" s="626"/>
      <c r="Q29" s="627"/>
      <c r="R29" s="650"/>
      <c r="S29" s="650"/>
      <c r="T29" s="650"/>
      <c r="U29" s="565"/>
      <c r="V29" s="627"/>
      <c r="W29" s="627"/>
      <c r="X29" s="627"/>
      <c r="Y29" s="627"/>
      <c r="Z29" s="627"/>
      <c r="AA29" s="627"/>
      <c r="AB29" s="630"/>
    </row>
    <row r="30" spans="1:28" ht="12.75">
      <c r="A30" s="625" t="s">
        <v>21</v>
      </c>
      <c r="B30" s="626">
        <v>0.6570185573089297</v>
      </c>
      <c r="C30" s="650">
        <v>0.6328997428899975</v>
      </c>
      <c r="D30" s="650">
        <v>0.5980403447071251</v>
      </c>
      <c r="E30" s="627">
        <v>0.5878896240270948</v>
      </c>
      <c r="F30" s="627">
        <v>0.5757226682730177</v>
      </c>
      <c r="G30" s="651">
        <v>844.225819</v>
      </c>
      <c r="H30" s="627">
        <v>0.9632905126489578</v>
      </c>
      <c r="I30" s="627">
        <v>0.9449211370766329</v>
      </c>
      <c r="J30" s="627">
        <v>0.9830266958243404</v>
      </c>
      <c r="K30" s="627">
        <v>0.9793040134460405</v>
      </c>
      <c r="L30" s="627">
        <v>0.8762654598845878</v>
      </c>
      <c r="M30" s="627"/>
      <c r="N30" s="630">
        <v>-0.032482290050644846</v>
      </c>
      <c r="P30" s="626">
        <v>0.6562773966592443</v>
      </c>
      <c r="Q30" s="627">
        <v>0.6301157376698634</v>
      </c>
      <c r="R30" s="650">
        <v>0.5847041695307791</v>
      </c>
      <c r="S30" s="650">
        <v>0.5623566830185157</v>
      </c>
      <c r="T30" s="650">
        <v>0.5799918103858513</v>
      </c>
      <c r="U30" s="565">
        <v>616.5392</v>
      </c>
      <c r="V30" s="627">
        <v>0.9601362790756532</v>
      </c>
      <c r="W30" s="627">
        <v>0.927931385578443</v>
      </c>
      <c r="X30" s="627">
        <v>0.9617798406838846</v>
      </c>
      <c r="Y30" s="627">
        <v>1.0313593274515331</v>
      </c>
      <c r="Z30" s="627">
        <v>0.8837601498059785</v>
      </c>
      <c r="AA30" s="627"/>
      <c r="AB30" s="630">
        <v>-0.030420100142628304</v>
      </c>
    </row>
    <row r="31" spans="1:28" ht="4.5" customHeight="1">
      <c r="A31" s="625"/>
      <c r="B31" s="626"/>
      <c r="C31" s="650"/>
      <c r="D31" s="650"/>
      <c r="E31" s="627"/>
      <c r="F31" s="627"/>
      <c r="G31" s="651"/>
      <c r="H31" s="627"/>
      <c r="I31" s="627"/>
      <c r="J31" s="627"/>
      <c r="K31" s="627"/>
      <c r="L31" s="627"/>
      <c r="M31" s="627"/>
      <c r="N31" s="630"/>
      <c r="P31" s="626"/>
      <c r="Q31" s="627"/>
      <c r="R31" s="650"/>
      <c r="S31" s="650"/>
      <c r="T31" s="650"/>
      <c r="U31" s="565"/>
      <c r="V31" s="627"/>
      <c r="W31" s="627"/>
      <c r="X31" s="627"/>
      <c r="Y31" s="627"/>
      <c r="Z31" s="627"/>
      <c r="AA31" s="627"/>
      <c r="AB31" s="630"/>
    </row>
    <row r="32" spans="1:28" ht="12.75">
      <c r="A32" s="625" t="s">
        <v>22</v>
      </c>
      <c r="B32" s="626">
        <v>0.7294946963728619</v>
      </c>
      <c r="C32" s="650">
        <v>0.6739396893605405</v>
      </c>
      <c r="D32" s="650">
        <v>0.6928787187428281</v>
      </c>
      <c r="E32" s="627">
        <v>0.6928015462398205</v>
      </c>
      <c r="F32" s="627">
        <v>0.6712513436412876</v>
      </c>
      <c r="G32" s="651">
        <v>533.170702</v>
      </c>
      <c r="H32" s="627">
        <v>0.9238445361034867</v>
      </c>
      <c r="I32" s="627">
        <v>1.0281019647325678</v>
      </c>
      <c r="J32" s="627">
        <v>0.9998886204743773</v>
      </c>
      <c r="K32" s="627">
        <v>0.9688941187913096</v>
      </c>
      <c r="L32" s="627">
        <v>0.9201593198399283</v>
      </c>
      <c r="M32" s="627"/>
      <c r="N32" s="630">
        <v>-0.02058724111079757</v>
      </c>
      <c r="P32" s="626">
        <v>0.7686961389209784</v>
      </c>
      <c r="Q32" s="627">
        <v>0.7079620713822469</v>
      </c>
      <c r="R32" s="650">
        <v>0.6744794431855703</v>
      </c>
      <c r="S32" s="650">
        <v>0.6843217054959181</v>
      </c>
      <c r="T32" s="650">
        <v>0.6520156726789591</v>
      </c>
      <c r="U32" s="565">
        <v>387.793039</v>
      </c>
      <c r="V32" s="627">
        <v>0.9209907992721491</v>
      </c>
      <c r="W32" s="627">
        <v>0.9527056186339135</v>
      </c>
      <c r="X32" s="627">
        <v>1.0145923829255088</v>
      </c>
      <c r="Y32" s="627">
        <v>0.9527911615874477</v>
      </c>
      <c r="Z32" s="627">
        <v>0.8482098968185217</v>
      </c>
      <c r="AA32" s="627"/>
      <c r="AB32" s="630">
        <v>-0.04032134842120805</v>
      </c>
    </row>
    <row r="33" spans="1:28" ht="4.5" customHeight="1">
      <c r="A33" s="625"/>
      <c r="B33" s="626"/>
      <c r="C33" s="650"/>
      <c r="D33" s="650"/>
      <c r="G33" s="651"/>
      <c r="H33" s="627"/>
      <c r="I33" s="627"/>
      <c r="J33" s="627"/>
      <c r="K33" s="627"/>
      <c r="L33" s="627"/>
      <c r="M33" s="627"/>
      <c r="N33" s="630"/>
      <c r="P33" s="626"/>
      <c r="Q33" s="627"/>
      <c r="R33" s="650"/>
      <c r="S33" s="650"/>
      <c r="T33" s="650"/>
      <c r="U33" s="565"/>
      <c r="V33" s="627"/>
      <c r="W33" s="627"/>
      <c r="X33" s="627"/>
      <c r="Y33" s="627"/>
      <c r="Z33" s="627"/>
      <c r="AA33" s="627"/>
      <c r="AB33" s="630"/>
    </row>
    <row r="34" spans="1:28" ht="12.75">
      <c r="A34" s="631" t="s">
        <v>96</v>
      </c>
      <c r="B34" s="632">
        <v>0.7460025232431927</v>
      </c>
      <c r="C34" s="652">
        <v>0.7624757069137748</v>
      </c>
      <c r="D34" s="652">
        <v>0.6729861513076534</v>
      </c>
      <c r="E34" s="633">
        <v>0.7372993656052448</v>
      </c>
      <c r="F34" s="633">
        <v>0.7181266252749007</v>
      </c>
      <c r="G34" s="653">
        <v>205.09503999999998</v>
      </c>
      <c r="H34" s="633">
        <v>1.02208194095506</v>
      </c>
      <c r="I34" s="633">
        <v>0.8826329090951073</v>
      </c>
      <c r="J34" s="633">
        <v>1.0955639490836875</v>
      </c>
      <c r="K34" s="633">
        <v>0.9739959896552938</v>
      </c>
      <c r="L34" s="633">
        <v>0.9626329709354017</v>
      </c>
      <c r="M34" s="633"/>
      <c r="N34" s="635">
        <v>-0.009475588669927149</v>
      </c>
      <c r="P34" s="632">
        <v>0.8106430716605623</v>
      </c>
      <c r="Q34" s="633">
        <v>0.8897743655335474</v>
      </c>
      <c r="R34" s="652">
        <v>0.7706894593973033</v>
      </c>
      <c r="S34" s="652">
        <v>0.7135324543241451</v>
      </c>
      <c r="T34" s="652">
        <v>0.7500887914930856</v>
      </c>
      <c r="U34" s="654">
        <v>159.630841</v>
      </c>
      <c r="V34" s="633">
        <v>1.097615456961704</v>
      </c>
      <c r="W34" s="633">
        <v>0.8661628040218537</v>
      </c>
      <c r="X34" s="633">
        <v>0.9258365293877819</v>
      </c>
      <c r="Y34" s="633">
        <v>1.051232900406144</v>
      </c>
      <c r="Z34" s="633">
        <v>0.9253009341787943</v>
      </c>
      <c r="AA34" s="633"/>
      <c r="AB34" s="635">
        <v>-0.019221921844167933</v>
      </c>
    </row>
    <row r="35" spans="1:28" ht="4.5" customHeight="1">
      <c r="A35" s="625"/>
      <c r="B35" s="626"/>
      <c r="C35" s="650"/>
      <c r="D35" s="650"/>
      <c r="E35" s="627"/>
      <c r="F35" s="627"/>
      <c r="G35" s="650"/>
      <c r="H35" s="627"/>
      <c r="I35" s="627"/>
      <c r="J35" s="627"/>
      <c r="K35" s="627"/>
      <c r="L35" s="627"/>
      <c r="M35" s="627"/>
      <c r="N35" s="630"/>
      <c r="P35" s="626"/>
      <c r="Q35" s="627"/>
      <c r="R35" s="650"/>
      <c r="S35" s="650"/>
      <c r="T35" s="650"/>
      <c r="U35" s="565"/>
      <c r="V35" s="627"/>
      <c r="W35" s="627"/>
      <c r="X35" s="627"/>
      <c r="Y35" s="627"/>
      <c r="Z35" s="627"/>
      <c r="AA35" s="627"/>
      <c r="AB35" s="630"/>
    </row>
    <row r="36" spans="1:28" ht="13.5" thickBot="1">
      <c r="A36" s="637" t="s">
        <v>84</v>
      </c>
      <c r="B36" s="642">
        <v>0.6721066073756911</v>
      </c>
      <c r="C36" s="655">
        <v>0.6354036721687744</v>
      </c>
      <c r="D36" s="655">
        <v>0.6134490805851265</v>
      </c>
      <c r="E36" s="639">
        <v>0.6202380108169436</v>
      </c>
      <c r="F36" s="639">
        <v>0.5954490101382156</v>
      </c>
      <c r="G36" s="656">
        <v>3190.972906</v>
      </c>
      <c r="H36" s="639">
        <v>0.9453912001397708</v>
      </c>
      <c r="I36" s="639">
        <v>0.9654478050013278</v>
      </c>
      <c r="J36" s="639">
        <v>1.012701296777365</v>
      </c>
      <c r="K36" s="639">
        <v>0.9606197791075708</v>
      </c>
      <c r="L36" s="639">
        <v>0.8879187880072631</v>
      </c>
      <c r="M36" s="639"/>
      <c r="N36" s="641">
        <v>-0.029281489075184797</v>
      </c>
      <c r="P36" s="638">
        <v>0.6853191782878384</v>
      </c>
      <c r="Q36" s="643">
        <v>0.6547993582891912</v>
      </c>
      <c r="R36" s="655">
        <v>0.6028412912161744</v>
      </c>
      <c r="S36" s="655">
        <v>0.5980455452458113</v>
      </c>
      <c r="T36" s="655">
        <v>0.5858048958238516</v>
      </c>
      <c r="U36" s="656">
        <v>2252.3820400000004</v>
      </c>
      <c r="V36" s="639">
        <v>0.9554662689071447</v>
      </c>
      <c r="W36" s="639">
        <v>0.9206504001336091</v>
      </c>
      <c r="X36" s="639">
        <v>0.9920447619626585</v>
      </c>
      <c r="Y36" s="639">
        <v>0.9795322454631302</v>
      </c>
      <c r="Z36" s="639">
        <v>0.8547913357501428</v>
      </c>
      <c r="AA36" s="639"/>
      <c r="AB36" s="641">
        <v>-0.03846515359222957</v>
      </c>
    </row>
    <row r="37" ht="13.5" thickTop="1"/>
    <row r="38" spans="5:24" ht="15.75">
      <c r="E38" s="732" t="s">
        <v>137</v>
      </c>
      <c r="F38" s="732"/>
      <c r="G38" s="732"/>
      <c r="H38" s="732"/>
      <c r="I38" s="732"/>
      <c r="J38" s="732"/>
      <c r="K38" s="732"/>
      <c r="L38" s="732"/>
      <c r="M38" s="732"/>
      <c r="N38" s="732"/>
      <c r="O38" s="732"/>
      <c r="P38" s="732"/>
      <c r="Q38" s="732"/>
      <c r="R38" s="732"/>
      <c r="S38" s="732"/>
      <c r="T38" s="732"/>
      <c r="U38" s="732"/>
      <c r="V38" s="732"/>
      <c r="W38" s="732"/>
      <c r="X38" s="732"/>
    </row>
    <row r="39" spans="1:28" ht="18" customHeight="1">
      <c r="A39" s="616"/>
      <c r="B39" s="729" t="s">
        <v>268</v>
      </c>
      <c r="C39" s="729"/>
      <c r="D39" s="729"/>
      <c r="E39" s="729"/>
      <c r="F39" s="729"/>
      <c r="G39" s="729"/>
      <c r="H39" s="729"/>
      <c r="I39" s="729"/>
      <c r="J39" s="729"/>
      <c r="K39" s="729"/>
      <c r="L39" s="729"/>
      <c r="M39" s="729"/>
      <c r="N39" s="729"/>
      <c r="O39" s="616"/>
      <c r="P39" s="729" t="s">
        <v>269</v>
      </c>
      <c r="Q39" s="729"/>
      <c r="R39" s="729"/>
      <c r="S39" s="729"/>
      <c r="T39" s="729"/>
      <c r="U39" s="729"/>
      <c r="V39" s="729"/>
      <c r="W39" s="729"/>
      <c r="X39" s="729"/>
      <c r="Y39" s="729"/>
      <c r="Z39" s="729"/>
      <c r="AA39" s="729"/>
      <c r="AB39" s="729"/>
    </row>
    <row r="40" spans="1:28" ht="27">
      <c r="A40" s="617"/>
      <c r="B40" s="730" t="s">
        <v>81</v>
      </c>
      <c r="C40" s="726"/>
      <c r="D40" s="726"/>
      <c r="E40" s="726"/>
      <c r="F40" s="726"/>
      <c r="G40" s="618" t="s">
        <v>128</v>
      </c>
      <c r="H40" s="726" t="s">
        <v>143</v>
      </c>
      <c r="I40" s="726"/>
      <c r="J40" s="726"/>
      <c r="K40" s="726"/>
      <c r="L40" s="726"/>
      <c r="M40" s="618"/>
      <c r="N40" s="619" t="s">
        <v>265</v>
      </c>
      <c r="P40" s="730" t="s">
        <v>81</v>
      </c>
      <c r="Q40" s="726"/>
      <c r="R40" s="726"/>
      <c r="S40" s="726"/>
      <c r="T40" s="726"/>
      <c r="U40" s="618" t="s">
        <v>128</v>
      </c>
      <c r="V40" s="726" t="s">
        <v>143</v>
      </c>
      <c r="W40" s="726"/>
      <c r="X40" s="726"/>
      <c r="Y40" s="726"/>
      <c r="Z40" s="726"/>
      <c r="AA40" s="618"/>
      <c r="AB40" s="619" t="s">
        <v>265</v>
      </c>
    </row>
    <row r="41" spans="1:28" ht="12.75">
      <c r="A41" s="609" t="s">
        <v>11</v>
      </c>
      <c r="B41" s="620">
        <v>2003</v>
      </c>
      <c r="C41" s="621">
        <v>2004</v>
      </c>
      <c r="D41" s="621">
        <v>2005</v>
      </c>
      <c r="E41" s="621">
        <v>2006</v>
      </c>
      <c r="F41" s="621">
        <v>2007</v>
      </c>
      <c r="G41" s="621">
        <v>2007</v>
      </c>
      <c r="H41" s="622" t="s">
        <v>89</v>
      </c>
      <c r="I41" s="623" t="s">
        <v>90</v>
      </c>
      <c r="J41" s="623" t="s">
        <v>91</v>
      </c>
      <c r="K41" s="623" t="s">
        <v>92</v>
      </c>
      <c r="L41" s="623" t="s">
        <v>93</v>
      </c>
      <c r="M41" s="623"/>
      <c r="N41" s="624" t="s">
        <v>93</v>
      </c>
      <c r="P41" s="620">
        <v>2003</v>
      </c>
      <c r="Q41" s="621">
        <v>2004</v>
      </c>
      <c r="R41" s="621">
        <v>2005</v>
      </c>
      <c r="S41" s="621">
        <v>2006</v>
      </c>
      <c r="T41" s="621">
        <v>2007</v>
      </c>
      <c r="U41" s="621">
        <v>2007</v>
      </c>
      <c r="V41" s="622" t="s">
        <v>89</v>
      </c>
      <c r="W41" s="623" t="s">
        <v>90</v>
      </c>
      <c r="X41" s="623" t="s">
        <v>91</v>
      </c>
      <c r="Y41" s="623" t="s">
        <v>92</v>
      </c>
      <c r="Z41" s="623" t="s">
        <v>93</v>
      </c>
      <c r="AA41" s="623"/>
      <c r="AB41" s="624" t="s">
        <v>93</v>
      </c>
    </row>
    <row r="42" spans="1:28" s="629" customFormat="1" ht="12.75">
      <c r="A42" s="625" t="s">
        <v>95</v>
      </c>
      <c r="B42" s="626">
        <v>0.9177578673738573</v>
      </c>
      <c r="C42" s="650">
        <v>0.9023384404240716</v>
      </c>
      <c r="D42" s="650">
        <v>0.8519011239761332</v>
      </c>
      <c r="E42" s="627">
        <v>0.8417483567769656</v>
      </c>
      <c r="F42" s="627">
        <v>0.8180894364693804</v>
      </c>
      <c r="G42" s="571">
        <v>3415</v>
      </c>
      <c r="H42" s="564">
        <f>+C42/B42</f>
        <v>0.98319880711684</v>
      </c>
      <c r="I42" s="564">
        <f>+D42/C42</f>
        <v>0.9441037706160069</v>
      </c>
      <c r="J42" s="564">
        <f>+E42/D42</f>
        <v>0.9880822234958666</v>
      </c>
      <c r="K42" s="564">
        <f>+F42/E42</f>
        <v>0.9718931196988911</v>
      </c>
      <c r="L42" s="564">
        <f>+B42</f>
        <v>0.9177578673738573</v>
      </c>
      <c r="M42" s="564"/>
      <c r="N42" s="628">
        <v>-0.02833140291468228</v>
      </c>
      <c r="P42" s="626">
        <v>0.9022689223927616</v>
      </c>
      <c r="Q42" s="627">
        <v>0.8918750004199754</v>
      </c>
      <c r="R42" s="627">
        <v>0.8354841750217272</v>
      </c>
      <c r="S42" s="627">
        <v>0.8144144359164692</v>
      </c>
      <c r="T42" s="627">
        <v>0.7903495275902804</v>
      </c>
      <c r="U42" s="571">
        <v>2703</v>
      </c>
      <c r="V42" s="564">
        <v>0.9884802394110814</v>
      </c>
      <c r="W42" s="564">
        <v>0.9367727255818424</v>
      </c>
      <c r="X42" s="564">
        <v>0.9747814025266127</v>
      </c>
      <c r="Y42" s="564">
        <v>0.9704512748486485</v>
      </c>
      <c r="Z42" s="564">
        <v>0.8759578302822646</v>
      </c>
      <c r="AA42" s="564"/>
      <c r="AB42" s="628">
        <v>-0.032567217590923736</v>
      </c>
    </row>
    <row r="43" spans="1:28" s="629" customFormat="1" ht="4.5" customHeight="1">
      <c r="A43" s="625"/>
      <c r="B43" s="626"/>
      <c r="C43" s="650"/>
      <c r="D43" s="650"/>
      <c r="E43" s="627"/>
      <c r="F43" s="627"/>
      <c r="H43" s="627"/>
      <c r="I43" s="627"/>
      <c r="J43" s="627"/>
      <c r="K43" s="627"/>
      <c r="L43" s="627"/>
      <c r="M43" s="564"/>
      <c r="N43" s="628"/>
      <c r="P43" s="626"/>
      <c r="Q43" s="627"/>
      <c r="R43" s="627"/>
      <c r="S43" s="627"/>
      <c r="T43" s="627"/>
      <c r="U43" s="571"/>
      <c r="V43" s="564"/>
      <c r="W43" s="564"/>
      <c r="X43" s="564"/>
      <c r="Y43" s="564"/>
      <c r="Z43" s="564"/>
      <c r="AA43" s="564"/>
      <c r="AB43" s="628"/>
    </row>
    <row r="44" spans="1:28" s="629" customFormat="1" ht="12.75">
      <c r="A44" s="625" t="s">
        <v>20</v>
      </c>
      <c r="B44" s="626">
        <v>0.8511437084787215</v>
      </c>
      <c r="C44" s="650">
        <v>0.8251223200185085</v>
      </c>
      <c r="D44" s="650">
        <v>0.8066950510453722</v>
      </c>
      <c r="E44" s="627">
        <v>0.76355528757395</v>
      </c>
      <c r="F44" s="627">
        <v>0.7533276499670055</v>
      </c>
      <c r="G44" s="571">
        <v>4285</v>
      </c>
      <c r="H44" s="627">
        <f>+C44/B44</f>
        <v>0.9694277379941845</v>
      </c>
      <c r="I44" s="627">
        <f>+D44/C44</f>
        <v>0.9776672276024203</v>
      </c>
      <c r="J44" s="627">
        <f>+E44/D44</f>
        <v>0.9465228360884095</v>
      </c>
      <c r="K44" s="627">
        <f>+F44/E44</f>
        <v>0.9866052429033125</v>
      </c>
      <c r="L44" s="627">
        <f>+B44</f>
        <v>0.8511437084787215</v>
      </c>
      <c r="M44" s="627"/>
      <c r="N44" s="630">
        <v>-0.030059142789488513</v>
      </c>
      <c r="P44" s="626">
        <v>0.8360165364252433</v>
      </c>
      <c r="Q44" s="627">
        <v>0.8182394923063807</v>
      </c>
      <c r="R44" s="627">
        <v>0.7859442402663112</v>
      </c>
      <c r="S44" s="627">
        <v>0.735124071303462</v>
      </c>
      <c r="T44" s="627">
        <v>0.7234123594581501</v>
      </c>
      <c r="U44" s="572">
        <v>3289</v>
      </c>
      <c r="V44" s="627">
        <v>0.9787360137696843</v>
      </c>
      <c r="W44" s="627">
        <v>0.9605308074912902</v>
      </c>
      <c r="X44" s="627">
        <v>0.9353387093394449</v>
      </c>
      <c r="Y44" s="627">
        <v>0.9840683874974387</v>
      </c>
      <c r="Z44" s="627">
        <v>0.8653086726626462</v>
      </c>
      <c r="AA44" s="627"/>
      <c r="AB44" s="630">
        <v>-0.03552102638940691</v>
      </c>
    </row>
    <row r="45" spans="1:28" s="629" customFormat="1" ht="4.5" customHeight="1">
      <c r="A45" s="625"/>
      <c r="B45" s="626"/>
      <c r="C45" s="650"/>
      <c r="D45" s="650"/>
      <c r="E45" s="627"/>
      <c r="F45" s="627"/>
      <c r="H45" s="627"/>
      <c r="I45" s="627"/>
      <c r="J45" s="627"/>
      <c r="K45" s="627"/>
      <c r="L45" s="627"/>
      <c r="M45" s="627"/>
      <c r="N45" s="630"/>
      <c r="P45" s="626"/>
      <c r="Q45" s="627"/>
      <c r="R45" s="627"/>
      <c r="S45" s="627"/>
      <c r="T45" s="627"/>
      <c r="U45" s="572"/>
      <c r="V45" s="627"/>
      <c r="W45" s="627"/>
      <c r="X45" s="627"/>
      <c r="Y45" s="627"/>
      <c r="Z45" s="627"/>
      <c r="AA45" s="627"/>
      <c r="AB45" s="630"/>
    </row>
    <row r="46" spans="1:28" s="629" customFormat="1" ht="12.75">
      <c r="A46" s="625" t="s">
        <v>21</v>
      </c>
      <c r="B46" s="626">
        <v>0.8127218285020631</v>
      </c>
      <c r="C46" s="650">
        <v>0.7876550255240947</v>
      </c>
      <c r="D46" s="650">
        <v>0.7741748060583409</v>
      </c>
      <c r="E46" s="627">
        <v>0.7435254968503472</v>
      </c>
      <c r="F46" s="627">
        <v>0.7343510728597921</v>
      </c>
      <c r="G46" s="571">
        <v>6917</v>
      </c>
      <c r="H46" s="627">
        <f>+C46/B46</f>
        <v>0.9691569709353454</v>
      </c>
      <c r="I46" s="627">
        <f>+D46/C46</f>
        <v>0.9828856300932197</v>
      </c>
      <c r="J46" s="627">
        <f>+E46/D46</f>
        <v>0.960410350520133</v>
      </c>
      <c r="K46" s="627">
        <f>+F46/E46</f>
        <v>0.9876609154233191</v>
      </c>
      <c r="L46" s="627">
        <f>+B46</f>
        <v>0.8127218285020631</v>
      </c>
      <c r="M46" s="627"/>
      <c r="N46" s="630">
        <v>-0.025031796555547103</v>
      </c>
      <c r="P46" s="626">
        <v>0.8111431374260157</v>
      </c>
      <c r="Q46" s="627">
        <v>0.789425440736622</v>
      </c>
      <c r="R46" s="627">
        <v>0.7679258816976758</v>
      </c>
      <c r="S46" s="627">
        <v>0.7341168775681507</v>
      </c>
      <c r="T46" s="627">
        <v>0.7234282518615491</v>
      </c>
      <c r="U46" s="572">
        <v>5518</v>
      </c>
      <c r="V46" s="627">
        <v>0.9732258146714894</v>
      </c>
      <c r="W46" s="627">
        <v>0.9727655609643329</v>
      </c>
      <c r="X46" s="627">
        <v>0.9559736102984541</v>
      </c>
      <c r="Y46" s="627">
        <v>0.9854401580549287</v>
      </c>
      <c r="Z46" s="627">
        <v>0.8918626300127367</v>
      </c>
      <c r="AA46" s="627"/>
      <c r="AB46" s="630">
        <v>-0.02820537706342019</v>
      </c>
    </row>
    <row r="47" spans="1:28" s="629" customFormat="1" ht="4.5" customHeight="1">
      <c r="A47" s="625"/>
      <c r="B47" s="626"/>
      <c r="C47" s="650"/>
      <c r="D47" s="650"/>
      <c r="E47" s="627"/>
      <c r="F47" s="627"/>
      <c r="H47" s="627"/>
      <c r="I47" s="627"/>
      <c r="J47" s="627"/>
      <c r="K47" s="627"/>
      <c r="L47" s="627"/>
      <c r="M47" s="627"/>
      <c r="N47" s="630"/>
      <c r="P47" s="626"/>
      <c r="Q47" s="627"/>
      <c r="R47" s="627"/>
      <c r="S47" s="627"/>
      <c r="T47" s="627"/>
      <c r="U47" s="572"/>
      <c r="V47" s="627"/>
      <c r="W47" s="627"/>
      <c r="X47" s="627"/>
      <c r="Y47" s="627"/>
      <c r="Z47" s="627"/>
      <c r="AA47" s="627"/>
      <c r="AB47" s="630"/>
    </row>
    <row r="48" spans="1:28" s="629" customFormat="1" ht="12.75">
      <c r="A48" s="625" t="s">
        <v>22</v>
      </c>
      <c r="B48" s="626">
        <v>0.8994165230753438</v>
      </c>
      <c r="C48" s="650">
        <v>0.8746328998137474</v>
      </c>
      <c r="D48" s="650">
        <v>0.8294020015954393</v>
      </c>
      <c r="E48" s="627">
        <v>0.8218940252689259</v>
      </c>
      <c r="F48" s="627">
        <v>0.7977785046643879</v>
      </c>
      <c r="G48" s="571">
        <v>8151</v>
      </c>
      <c r="H48" s="627">
        <f>+C48/B48</f>
        <v>0.9724447765570787</v>
      </c>
      <c r="I48" s="627">
        <f>+D48/C48</f>
        <v>0.9482858485795127</v>
      </c>
      <c r="J48" s="627">
        <f>+E48/D48</f>
        <v>0.9909477234054522</v>
      </c>
      <c r="K48" s="627">
        <f>+F48/E48</f>
        <v>0.9706586009106865</v>
      </c>
      <c r="L48" s="627">
        <f>+B48</f>
        <v>0.8994165230753438</v>
      </c>
      <c r="M48" s="627"/>
      <c r="N48" s="630">
        <v>-0.029533904808075828</v>
      </c>
      <c r="P48" s="626">
        <v>0.904222106462472</v>
      </c>
      <c r="Q48" s="627">
        <v>0.8642444009268493</v>
      </c>
      <c r="R48" s="627">
        <v>0.8320632948901422</v>
      </c>
      <c r="S48" s="627">
        <v>0.8113842420012619</v>
      </c>
      <c r="T48" s="627">
        <v>0.7878867482144464</v>
      </c>
      <c r="U48" s="572">
        <v>6591</v>
      </c>
      <c r="V48" s="627">
        <v>0.9557877370505519</v>
      </c>
      <c r="W48" s="627">
        <v>0.9627638825288369</v>
      </c>
      <c r="X48" s="627">
        <v>0.975147259810793</v>
      </c>
      <c r="Y48" s="627">
        <v>0.9710402389269238</v>
      </c>
      <c r="Z48" s="627">
        <v>0.871342054771082</v>
      </c>
      <c r="AA48" s="627"/>
      <c r="AB48" s="630">
        <v>-0.033844192196568645</v>
      </c>
    </row>
    <row r="49" spans="1:28" s="629" customFormat="1" ht="4.5" customHeight="1">
      <c r="A49" s="625"/>
      <c r="B49" s="626"/>
      <c r="C49" s="650"/>
      <c r="D49" s="650"/>
      <c r="E49" s="627"/>
      <c r="F49" s="627"/>
      <c r="H49" s="627"/>
      <c r="I49" s="627"/>
      <c r="J49" s="627"/>
      <c r="K49" s="627"/>
      <c r="L49" s="627"/>
      <c r="M49" s="627"/>
      <c r="N49" s="630"/>
      <c r="P49" s="626"/>
      <c r="Q49" s="627"/>
      <c r="R49" s="627"/>
      <c r="S49" s="627"/>
      <c r="T49" s="627"/>
      <c r="U49" s="572"/>
      <c r="V49" s="627"/>
      <c r="W49" s="627"/>
      <c r="X49" s="627"/>
      <c r="Y49" s="627"/>
      <c r="Z49" s="627"/>
      <c r="AA49" s="627"/>
      <c r="AB49" s="630"/>
    </row>
    <row r="50" spans="1:28" s="629" customFormat="1" ht="12.75">
      <c r="A50" s="631" t="s">
        <v>96</v>
      </c>
      <c r="B50" s="632">
        <v>1.039290550431352</v>
      </c>
      <c r="C50" s="652">
        <v>1.010343113929089</v>
      </c>
      <c r="D50" s="652">
        <v>0.962368058927853</v>
      </c>
      <c r="E50" s="633">
        <v>0.9044495956874425</v>
      </c>
      <c r="F50" s="633">
        <v>0.9246706627984024</v>
      </c>
      <c r="G50" s="634">
        <v>2308</v>
      </c>
      <c r="H50" s="633">
        <f>+C50/B50</f>
        <v>0.9721469261023796</v>
      </c>
      <c r="I50" s="633">
        <f>+D50/C50</f>
        <v>0.9525160766280008</v>
      </c>
      <c r="J50" s="633">
        <f>+E50/D50</f>
        <v>0.9398167232348341</v>
      </c>
      <c r="K50" s="633">
        <f>+F50/E50</f>
        <v>1.0223573178730767</v>
      </c>
      <c r="L50" s="633">
        <f>+B50</f>
        <v>1.039290550431352</v>
      </c>
      <c r="M50" s="633"/>
      <c r="N50" s="635">
        <v>-0.02879138728854469</v>
      </c>
      <c r="P50" s="632">
        <v>1.0598030267571148</v>
      </c>
      <c r="Q50" s="633">
        <v>0.9997390113505221</v>
      </c>
      <c r="R50" s="633">
        <v>0.9910229951666749</v>
      </c>
      <c r="S50" s="633">
        <v>0.8822525373585448</v>
      </c>
      <c r="T50" s="633">
        <v>0.9086738161857791</v>
      </c>
      <c r="U50" s="636">
        <v>1862</v>
      </c>
      <c r="V50" s="633">
        <v>0.9433253030137286</v>
      </c>
      <c r="W50" s="633">
        <v>0.991281708441013</v>
      </c>
      <c r="X50" s="633">
        <v>0.890244264423111</v>
      </c>
      <c r="Y50" s="633">
        <v>1.0299475237626852</v>
      </c>
      <c r="Z50" s="633">
        <v>0.8573987743422709</v>
      </c>
      <c r="AA50" s="633"/>
      <c r="AB50" s="635">
        <v>-0.03773272915379344</v>
      </c>
    </row>
    <row r="51" spans="1:28" s="629" customFormat="1" ht="4.5" customHeight="1">
      <c r="A51" s="625"/>
      <c r="B51" s="626"/>
      <c r="C51" s="650"/>
      <c r="D51" s="650"/>
      <c r="E51" s="627"/>
      <c r="F51" s="627"/>
      <c r="G51" s="571"/>
      <c r="H51" s="627"/>
      <c r="I51" s="627"/>
      <c r="J51" s="627"/>
      <c r="K51" s="627"/>
      <c r="L51" s="627"/>
      <c r="M51" s="627"/>
      <c r="N51" s="630"/>
      <c r="P51" s="626"/>
      <c r="Q51" s="627"/>
      <c r="R51" s="627"/>
      <c r="S51" s="627"/>
      <c r="T51" s="627"/>
      <c r="U51" s="572"/>
      <c r="V51" s="627"/>
      <c r="W51" s="627"/>
      <c r="X51" s="627"/>
      <c r="Y51" s="627"/>
      <c r="Z51" s="627"/>
      <c r="AA51" s="627"/>
      <c r="AB51" s="630"/>
    </row>
    <row r="52" spans="1:30" ht="13.5" thickBot="1">
      <c r="A52" s="637" t="s">
        <v>84</v>
      </c>
      <c r="B52" s="642">
        <v>0.8826010643755386</v>
      </c>
      <c r="C52" s="655">
        <v>0.8576579500353604</v>
      </c>
      <c r="D52" s="655">
        <v>0.823000907605948</v>
      </c>
      <c r="E52" s="639">
        <v>0.7976190521477736</v>
      </c>
      <c r="F52" s="639">
        <v>0.7837523066016195</v>
      </c>
      <c r="G52" s="640">
        <v>25076</v>
      </c>
      <c r="H52" s="639">
        <f>+C52/B52</f>
        <v>0.9717390842284718</v>
      </c>
      <c r="I52" s="639">
        <f>+D52/C52</f>
        <v>0.959591067245417</v>
      </c>
      <c r="J52" s="639">
        <f>+E52/D52</f>
        <v>0.9691593833936242</v>
      </c>
      <c r="K52" s="639">
        <f>+F52/E52</f>
        <v>0.9826148265781582</v>
      </c>
      <c r="L52" s="639">
        <f>+B52</f>
        <v>0.8826010643755386</v>
      </c>
      <c r="M52" s="639"/>
      <c r="N52" s="641">
        <v>-0.029258500415904387</v>
      </c>
      <c r="P52" s="642">
        <v>0.8802580906019428</v>
      </c>
      <c r="Q52" s="643">
        <v>0.8507167127122535</v>
      </c>
      <c r="R52" s="643">
        <v>0.8197161700852391</v>
      </c>
      <c r="S52" s="643">
        <v>0.7817951102626203</v>
      </c>
      <c r="T52" s="643">
        <v>0.7675526325014246</v>
      </c>
      <c r="U52" s="644">
        <v>19963</v>
      </c>
      <c r="V52" s="639">
        <f>Q52/P52</f>
        <v>0.9664400950072629</v>
      </c>
      <c r="W52" s="639">
        <f>R52/Q52</f>
        <v>0.963559499697404</v>
      </c>
      <c r="X52" s="639">
        <f>S52/R52</f>
        <v>0.9537387925156148</v>
      </c>
      <c r="Y52" s="639">
        <f>T52/S52</f>
        <v>0.9817823396766816</v>
      </c>
      <c r="Z52" s="639">
        <f>T52/P52</f>
        <v>0.8719631670486012</v>
      </c>
      <c r="AA52" s="639"/>
      <c r="AB52" s="641">
        <f>((T52/P52)^0.25)-1</f>
        <v>-0.03367206378610654</v>
      </c>
      <c r="AD52" s="629"/>
    </row>
    <row r="53" spans="1:30" ht="13.5" thickTop="1">
      <c r="A53" s="625"/>
      <c r="B53" s="645"/>
      <c r="C53" s="645"/>
      <c r="D53" s="646"/>
      <c r="E53" s="646"/>
      <c r="F53" s="646"/>
      <c r="G53" s="646"/>
      <c r="H53" s="646"/>
      <c r="I53" s="646"/>
      <c r="J53" s="646"/>
      <c r="K53" s="646"/>
      <c r="L53" s="646"/>
      <c r="M53" s="646"/>
      <c r="N53" s="646"/>
      <c r="P53" s="646"/>
      <c r="Q53" s="646"/>
      <c r="R53" s="646"/>
      <c r="AD53" s="629"/>
    </row>
    <row r="54" spans="1:30" ht="12.75">
      <c r="A54" s="625"/>
      <c r="B54" s="727" t="s">
        <v>259</v>
      </c>
      <c r="C54" s="727"/>
      <c r="D54" s="727"/>
      <c r="E54" s="727"/>
      <c r="F54" s="727"/>
      <c r="G54" s="727"/>
      <c r="H54" s="727"/>
      <c r="I54" s="727"/>
      <c r="J54" s="727"/>
      <c r="K54" s="727"/>
      <c r="L54" s="727"/>
      <c r="M54" s="727"/>
      <c r="N54" s="727"/>
      <c r="P54" s="728" t="s">
        <v>260</v>
      </c>
      <c r="Q54" s="728"/>
      <c r="R54" s="728"/>
      <c r="S54" s="728"/>
      <c r="T54" s="728"/>
      <c r="U54" s="728"/>
      <c r="V54" s="728"/>
      <c r="W54" s="728"/>
      <c r="X54" s="728"/>
      <c r="Y54" s="728"/>
      <c r="Z54" s="728"/>
      <c r="AA54" s="728"/>
      <c r="AB54" s="728"/>
      <c r="AD54" s="629"/>
    </row>
    <row r="55" spans="1:30" s="648" customFormat="1" ht="27">
      <c r="A55" s="647"/>
      <c r="B55" s="730" t="s">
        <v>81</v>
      </c>
      <c r="C55" s="726"/>
      <c r="D55" s="726"/>
      <c r="E55" s="726"/>
      <c r="F55" s="726"/>
      <c r="G55" s="618" t="s">
        <v>129</v>
      </c>
      <c r="H55" s="726" t="s">
        <v>143</v>
      </c>
      <c r="I55" s="726"/>
      <c r="J55" s="726"/>
      <c r="K55" s="726"/>
      <c r="L55" s="726"/>
      <c r="M55" s="618"/>
      <c r="N55" s="619" t="s">
        <v>265</v>
      </c>
      <c r="P55" s="730" t="s">
        <v>81</v>
      </c>
      <c r="Q55" s="726"/>
      <c r="R55" s="726"/>
      <c r="S55" s="726"/>
      <c r="T55" s="726"/>
      <c r="U55" s="618" t="s">
        <v>129</v>
      </c>
      <c r="V55" s="726" t="s">
        <v>143</v>
      </c>
      <c r="W55" s="726"/>
      <c r="X55" s="726"/>
      <c r="Y55" s="726"/>
      <c r="Z55" s="726"/>
      <c r="AA55" s="618"/>
      <c r="AB55" s="619" t="s">
        <v>265</v>
      </c>
      <c r="AD55" s="629"/>
    </row>
    <row r="56" spans="1:30" ht="12.75">
      <c r="A56" s="609" t="s">
        <v>11</v>
      </c>
      <c r="B56" s="620">
        <v>2003</v>
      </c>
      <c r="C56" s="621">
        <v>2004</v>
      </c>
      <c r="D56" s="621">
        <v>2005</v>
      </c>
      <c r="E56" s="621">
        <v>2006</v>
      </c>
      <c r="F56" s="621">
        <v>2007</v>
      </c>
      <c r="G56" s="621">
        <v>2007</v>
      </c>
      <c r="H56" s="622" t="s">
        <v>89</v>
      </c>
      <c r="I56" s="623" t="s">
        <v>90</v>
      </c>
      <c r="J56" s="623" t="s">
        <v>91</v>
      </c>
      <c r="K56" s="623" t="s">
        <v>92</v>
      </c>
      <c r="L56" s="623" t="s">
        <v>93</v>
      </c>
      <c r="M56" s="623"/>
      <c r="N56" s="624" t="s">
        <v>93</v>
      </c>
      <c r="O56" s="649"/>
      <c r="P56" s="620">
        <v>2003</v>
      </c>
      <c r="Q56" s="621">
        <v>2004</v>
      </c>
      <c r="R56" s="621">
        <v>2005</v>
      </c>
      <c r="S56" s="621">
        <v>2006</v>
      </c>
      <c r="T56" s="621">
        <v>2007</v>
      </c>
      <c r="U56" s="621">
        <v>2007</v>
      </c>
      <c r="V56" s="622" t="s">
        <v>89</v>
      </c>
      <c r="W56" s="623" t="s">
        <v>90</v>
      </c>
      <c r="X56" s="623" t="s">
        <v>91</v>
      </c>
      <c r="Y56" s="623" t="s">
        <v>92</v>
      </c>
      <c r="Z56" s="623" t="s">
        <v>93</v>
      </c>
      <c r="AA56" s="623"/>
      <c r="AB56" s="624" t="s">
        <v>93</v>
      </c>
      <c r="AD56" s="629"/>
    </row>
    <row r="57" spans="1:30" ht="12.75">
      <c r="A57" s="625" t="s">
        <v>95</v>
      </c>
      <c r="B57" s="626">
        <v>0.8687356389029228</v>
      </c>
      <c r="C57" s="650">
        <v>0.8600343290883544</v>
      </c>
      <c r="D57" s="650">
        <v>0.7962469252503663</v>
      </c>
      <c r="E57" s="627">
        <v>0.7930823570576916</v>
      </c>
      <c r="F57" s="627">
        <v>0.7762839594512289</v>
      </c>
      <c r="G57" s="651">
        <v>146.849845</v>
      </c>
      <c r="H57" s="564">
        <f>+C57/B57</f>
        <v>0.9899839382374633</v>
      </c>
      <c r="I57" s="564">
        <f>+D57/C57</f>
        <v>0.9258315608103651</v>
      </c>
      <c r="J57" s="564">
        <f>+E57/D57</f>
        <v>0.9960256446934728</v>
      </c>
      <c r="K57" s="564">
        <f>+F57/E57</f>
        <v>0.9788188484374003</v>
      </c>
      <c r="L57" s="564">
        <f>+B57</f>
        <v>0.8687356389029228</v>
      </c>
      <c r="M57" s="564"/>
      <c r="N57" s="628">
        <v>-0.027738153504421548</v>
      </c>
      <c r="P57" s="626">
        <v>0.8559175278042954</v>
      </c>
      <c r="Q57" s="627">
        <v>0.8529173685704419</v>
      </c>
      <c r="R57" s="650">
        <v>0.7851149814454195</v>
      </c>
      <c r="S57" s="650">
        <v>0.7555232200345088</v>
      </c>
      <c r="T57" s="650">
        <v>0.7420239607286022</v>
      </c>
      <c r="U57" s="565">
        <v>112.177835</v>
      </c>
      <c r="V57" s="564">
        <v>0.9964948033701916</v>
      </c>
      <c r="W57" s="564">
        <v>0.9205053272174951</v>
      </c>
      <c r="X57" s="564">
        <v>0.9623090093677344</v>
      </c>
      <c r="Y57" s="564">
        <v>0.9821325685988976</v>
      </c>
      <c r="Z57" s="564">
        <v>0.8669339470499372</v>
      </c>
      <c r="AA57" s="564"/>
      <c r="AB57" s="628">
        <v>-0.03506845953790716</v>
      </c>
      <c r="AD57" s="629"/>
    </row>
    <row r="58" spans="1:30" ht="4.5" customHeight="1">
      <c r="A58" s="625"/>
      <c r="B58" s="626"/>
      <c r="C58" s="650"/>
      <c r="D58" s="650"/>
      <c r="E58" s="627"/>
      <c r="F58" s="627"/>
      <c r="G58" s="651"/>
      <c r="H58" s="627"/>
      <c r="I58" s="627"/>
      <c r="J58" s="627"/>
      <c r="K58" s="627"/>
      <c r="L58" s="627"/>
      <c r="M58" s="564"/>
      <c r="N58" s="628"/>
      <c r="P58" s="626"/>
      <c r="Q58" s="627"/>
      <c r="R58" s="650"/>
      <c r="S58" s="650"/>
      <c r="T58" s="650"/>
      <c r="U58" s="565"/>
      <c r="V58" s="564"/>
      <c r="W58" s="564"/>
      <c r="X58" s="564"/>
      <c r="Y58" s="564"/>
      <c r="Z58" s="564"/>
      <c r="AA58" s="564"/>
      <c r="AB58" s="628"/>
      <c r="AD58" s="629"/>
    </row>
    <row r="59" spans="1:28" ht="12.75">
      <c r="A59" s="625" t="s">
        <v>20</v>
      </c>
      <c r="B59" s="626">
        <v>0.8085790761851136</v>
      </c>
      <c r="C59" s="650">
        <v>0.7843417415762407</v>
      </c>
      <c r="D59" s="650">
        <v>0.7723802753104272</v>
      </c>
      <c r="E59" s="627">
        <v>0.7322818132748412</v>
      </c>
      <c r="F59" s="627">
        <v>0.7356779315831479</v>
      </c>
      <c r="G59" s="651">
        <v>170.291675</v>
      </c>
      <c r="H59" s="627">
        <f>+C59/B59</f>
        <v>0.9700247813445471</v>
      </c>
      <c r="I59" s="627">
        <f>+D59/C59</f>
        <v>0.9847496752604606</v>
      </c>
      <c r="J59" s="627">
        <f>+E59/D59</f>
        <v>0.9480845597468552</v>
      </c>
      <c r="K59" s="627">
        <f>+F59/E59</f>
        <v>1.0046377204059171</v>
      </c>
      <c r="L59" s="627">
        <f>+B59</f>
        <v>0.8085790761851136</v>
      </c>
      <c r="M59" s="627"/>
      <c r="N59" s="630">
        <v>-0.023344708435552586</v>
      </c>
      <c r="P59" s="626">
        <v>0.7912313146705123</v>
      </c>
      <c r="Q59" s="627">
        <v>0.7812791820635459</v>
      </c>
      <c r="R59" s="650">
        <v>0.7439975516755785</v>
      </c>
      <c r="S59" s="650">
        <v>0.698456442819585</v>
      </c>
      <c r="T59" s="650">
        <v>0.6975977558181602</v>
      </c>
      <c r="U59" s="565">
        <v>125.339781</v>
      </c>
      <c r="V59" s="627">
        <v>0.9874219682380609</v>
      </c>
      <c r="W59" s="627">
        <v>0.952281295542142</v>
      </c>
      <c r="X59" s="627">
        <v>0.9387886307509627</v>
      </c>
      <c r="Y59" s="627">
        <v>0.9987705933415714</v>
      </c>
      <c r="Z59" s="627">
        <v>0.8816609541151144</v>
      </c>
      <c r="AA59" s="627"/>
      <c r="AB59" s="630">
        <v>-0.030996374547032968</v>
      </c>
    </row>
    <row r="60" spans="1:28" ht="4.5" customHeight="1">
      <c r="A60" s="625"/>
      <c r="B60" s="626"/>
      <c r="C60" s="650"/>
      <c r="D60" s="650"/>
      <c r="E60" s="627"/>
      <c r="F60" s="627"/>
      <c r="G60" s="651"/>
      <c r="H60" s="627"/>
      <c r="I60" s="627"/>
      <c r="J60" s="627"/>
      <c r="K60" s="627"/>
      <c r="L60" s="627"/>
      <c r="M60" s="627"/>
      <c r="N60" s="630"/>
      <c r="P60" s="626"/>
      <c r="Q60" s="627"/>
      <c r="R60" s="650"/>
      <c r="S60" s="650"/>
      <c r="T60" s="650"/>
      <c r="U60" s="565"/>
      <c r="V60" s="627"/>
      <c r="W60" s="627"/>
      <c r="X60" s="627"/>
      <c r="Y60" s="627"/>
      <c r="Z60" s="627"/>
      <c r="AA60" s="627"/>
      <c r="AB60" s="630"/>
    </row>
    <row r="61" spans="1:28" ht="12.75">
      <c r="A61" s="625" t="s">
        <v>21</v>
      </c>
      <c r="B61" s="626">
        <v>0.7586483544730288</v>
      </c>
      <c r="C61" s="650">
        <v>0.7383484823768336</v>
      </c>
      <c r="D61" s="650">
        <v>0.7374154547269333</v>
      </c>
      <c r="E61" s="627">
        <v>0.7093339631202108</v>
      </c>
      <c r="F61" s="627">
        <v>0.7067542737740314</v>
      </c>
      <c r="G61" s="651">
        <v>227.517481</v>
      </c>
      <c r="H61" s="627">
        <f>+C61/B61</f>
        <v>0.9732420534803692</v>
      </c>
      <c r="I61" s="627">
        <f>+D61/C61</f>
        <v>0.9987363315938609</v>
      </c>
      <c r="J61" s="627">
        <f>+E61/D61</f>
        <v>0.9619190356986468</v>
      </c>
      <c r="K61" s="627">
        <f>+F61/E61</f>
        <v>0.9963632231356414</v>
      </c>
      <c r="L61" s="627">
        <f>+B61</f>
        <v>0.7586483544730288</v>
      </c>
      <c r="M61" s="627"/>
      <c r="N61" s="630">
        <v>-0.017557863704024013</v>
      </c>
      <c r="P61" s="626">
        <v>0.7489977721091401</v>
      </c>
      <c r="Q61" s="627">
        <v>0.7318945702073667</v>
      </c>
      <c r="R61" s="650">
        <v>0.7240731453794622</v>
      </c>
      <c r="S61" s="650">
        <v>0.6909610121883962</v>
      </c>
      <c r="T61" s="650">
        <v>0.6881146719880584</v>
      </c>
      <c r="U61" s="565">
        <v>172.823936</v>
      </c>
      <c r="V61" s="627">
        <v>0.9771652165885465</v>
      </c>
      <c r="W61" s="627">
        <v>0.9893134542237573</v>
      </c>
      <c r="X61" s="627">
        <v>0.9542696295224248</v>
      </c>
      <c r="Y61" s="627">
        <v>0.995880606647656</v>
      </c>
      <c r="Z61" s="627">
        <v>0.9187139102568518</v>
      </c>
      <c r="AA61" s="627"/>
      <c r="AB61" s="630">
        <v>-0.020972089480395528</v>
      </c>
    </row>
    <row r="62" spans="1:28" ht="4.5" customHeight="1">
      <c r="A62" s="625"/>
      <c r="B62" s="626"/>
      <c r="C62" s="650"/>
      <c r="D62" s="650"/>
      <c r="E62" s="627"/>
      <c r="F62" s="627"/>
      <c r="G62" s="651"/>
      <c r="H62" s="627"/>
      <c r="I62" s="627"/>
      <c r="J62" s="627"/>
      <c r="K62" s="627"/>
      <c r="L62" s="627"/>
      <c r="M62" s="627"/>
      <c r="N62" s="630"/>
      <c r="P62" s="626"/>
      <c r="Q62" s="627"/>
      <c r="R62" s="650"/>
      <c r="S62" s="650"/>
      <c r="T62" s="650"/>
      <c r="U62" s="565"/>
      <c r="V62" s="627"/>
      <c r="W62" s="627"/>
      <c r="X62" s="627"/>
      <c r="Y62" s="627"/>
      <c r="Z62" s="627"/>
      <c r="AA62" s="627"/>
      <c r="AB62" s="630"/>
    </row>
    <row r="63" spans="1:28" ht="12.75">
      <c r="A63" s="625" t="s">
        <v>22</v>
      </c>
      <c r="B63" s="626">
        <v>0.8329215874506086</v>
      </c>
      <c r="C63" s="650">
        <v>0.8308211893865272</v>
      </c>
      <c r="D63" s="650">
        <v>0.7766452775970787</v>
      </c>
      <c r="E63" s="627">
        <v>0.7815351892425598</v>
      </c>
      <c r="F63" s="627">
        <v>0.7633802382580887</v>
      </c>
      <c r="G63" s="651">
        <v>217.109201</v>
      </c>
      <c r="H63" s="627">
        <f>+C63/B63</f>
        <v>0.9974782763519069</v>
      </c>
      <c r="I63" s="627">
        <f>+D63/C63</f>
        <v>0.9347923325963177</v>
      </c>
      <c r="J63" s="627">
        <f>+E63/D63</f>
        <v>1.0062961969724589</v>
      </c>
      <c r="K63" s="627">
        <f>+F63/E63</f>
        <v>0.976770142618829</v>
      </c>
      <c r="L63" s="627">
        <f>+B63</f>
        <v>0.8329215874506086</v>
      </c>
      <c r="M63" s="627"/>
      <c r="N63" s="630">
        <v>-0.02156000050141671</v>
      </c>
      <c r="P63" s="626">
        <v>0.8306825313615819</v>
      </c>
      <c r="Q63" s="627">
        <v>0.808247160894556</v>
      </c>
      <c r="R63" s="650">
        <v>0.7620290458103263</v>
      </c>
      <c r="S63" s="650">
        <v>0.7611516427426405</v>
      </c>
      <c r="T63" s="650">
        <v>0.749811627355665</v>
      </c>
      <c r="U63" s="565">
        <v>167.855794</v>
      </c>
      <c r="V63" s="627">
        <v>0.9729916428719744</v>
      </c>
      <c r="W63" s="627">
        <v>0.9428168543975135</v>
      </c>
      <c r="X63" s="627">
        <v>0.9988485962936586</v>
      </c>
      <c r="Y63" s="627">
        <v>0.9851015031037518</v>
      </c>
      <c r="Z63" s="627">
        <v>0.9026452333440064</v>
      </c>
      <c r="AA63" s="627"/>
      <c r="AB63" s="630">
        <v>-0.025281355709676268</v>
      </c>
    </row>
    <row r="64" spans="1:28" ht="4.5" customHeight="1">
      <c r="A64" s="625"/>
      <c r="B64" s="626"/>
      <c r="C64" s="650"/>
      <c r="D64" s="650"/>
      <c r="E64" s="627"/>
      <c r="F64" s="627"/>
      <c r="G64" s="651"/>
      <c r="H64" s="627"/>
      <c r="I64" s="627"/>
      <c r="J64" s="627"/>
      <c r="K64" s="627"/>
      <c r="L64" s="627"/>
      <c r="M64" s="627"/>
      <c r="N64" s="630"/>
      <c r="P64" s="626"/>
      <c r="Q64" s="627"/>
      <c r="R64" s="650"/>
      <c r="S64" s="650"/>
      <c r="T64" s="650"/>
      <c r="U64" s="565"/>
      <c r="V64" s="627"/>
      <c r="W64" s="627"/>
      <c r="X64" s="627"/>
      <c r="Y64" s="627"/>
      <c r="Z64" s="627"/>
      <c r="AA64" s="627"/>
      <c r="AB64" s="630"/>
    </row>
    <row r="65" spans="1:28" ht="12.75">
      <c r="A65" s="631" t="s">
        <v>96</v>
      </c>
      <c r="B65" s="632">
        <v>0.9612369020299951</v>
      </c>
      <c r="C65" s="652">
        <v>0.914943061042873</v>
      </c>
      <c r="D65" s="652">
        <v>0.9088366111632282</v>
      </c>
      <c r="E65" s="633">
        <v>0.8607392908181939</v>
      </c>
      <c r="F65" s="633">
        <v>0.8914381991283991</v>
      </c>
      <c r="G65" s="653">
        <v>60.381879</v>
      </c>
      <c r="H65" s="633">
        <f>+C65/B65</f>
        <v>0.9518393011240454</v>
      </c>
      <c r="I65" s="633">
        <f>+D65/C65</f>
        <v>0.993325868964256</v>
      </c>
      <c r="J65" s="633">
        <f>+E65/D65</f>
        <v>0.9470781439102963</v>
      </c>
      <c r="K65" s="633">
        <f>+F65/E65</f>
        <v>1.0356657452932394</v>
      </c>
      <c r="L65" s="633">
        <f>+B65</f>
        <v>0.9612369020299951</v>
      </c>
      <c r="M65" s="633"/>
      <c r="N65" s="635">
        <v>-0.018669716398232006</v>
      </c>
      <c r="P65" s="632">
        <v>0.9945735501236649</v>
      </c>
      <c r="Q65" s="633">
        <v>0.9036831750628476</v>
      </c>
      <c r="R65" s="652">
        <v>0.9117076367670204</v>
      </c>
      <c r="S65" s="652">
        <v>0.8375821836759473</v>
      </c>
      <c r="T65" s="652">
        <v>0.871570642927464</v>
      </c>
      <c r="U65" s="654">
        <v>45.698177</v>
      </c>
      <c r="V65" s="633">
        <v>0.9086137218815883</v>
      </c>
      <c r="W65" s="633">
        <v>1.0088797290085818</v>
      </c>
      <c r="X65" s="633">
        <v>0.9186960269918027</v>
      </c>
      <c r="Y65" s="633">
        <v>1.0405792528947422</v>
      </c>
      <c r="Z65" s="633">
        <v>0.8763259819438123</v>
      </c>
      <c r="AA65" s="633"/>
      <c r="AB65" s="635">
        <v>-0.032465584311845874</v>
      </c>
    </row>
    <row r="66" spans="1:28" ht="4.5" customHeight="1">
      <c r="A66" s="625"/>
      <c r="B66" s="626"/>
      <c r="C66" s="650"/>
      <c r="D66" s="650"/>
      <c r="E66" s="627"/>
      <c r="F66" s="627"/>
      <c r="G66" s="651"/>
      <c r="H66" s="627"/>
      <c r="I66" s="627"/>
      <c r="J66" s="627"/>
      <c r="K66" s="627"/>
      <c r="L66" s="627"/>
      <c r="M66" s="627"/>
      <c r="N66" s="630"/>
      <c r="P66" s="626"/>
      <c r="Q66" s="627"/>
      <c r="R66" s="650"/>
      <c r="S66" s="650"/>
      <c r="T66" s="650"/>
      <c r="U66" s="565"/>
      <c r="V66" s="627"/>
      <c r="W66" s="627"/>
      <c r="X66" s="627"/>
      <c r="Y66" s="627"/>
      <c r="Z66" s="627"/>
      <c r="AA66" s="627"/>
      <c r="AB66" s="630"/>
    </row>
    <row r="67" spans="1:28" ht="13.5" thickBot="1">
      <c r="A67" s="637" t="s">
        <v>84</v>
      </c>
      <c r="B67" s="642">
        <v>0.8219998234581157</v>
      </c>
      <c r="C67" s="655">
        <v>0.8056015030608228</v>
      </c>
      <c r="D67" s="655">
        <v>0.7758358376073962</v>
      </c>
      <c r="E67" s="639">
        <v>0.7567053949829018</v>
      </c>
      <c r="F67" s="639">
        <v>0.7510241041563538</v>
      </c>
      <c r="G67" s="656">
        <v>822.150081</v>
      </c>
      <c r="H67" s="639">
        <f>+C67/B67</f>
        <v>0.9800507008282484</v>
      </c>
      <c r="I67" s="639">
        <f>+D67/C67</f>
        <v>0.9630516262192483</v>
      </c>
      <c r="J67" s="639">
        <f>+E67/D67</f>
        <v>0.9753421513970135</v>
      </c>
      <c r="K67" s="639">
        <f>+F67/E67</f>
        <v>0.99249207040915</v>
      </c>
      <c r="L67" s="639">
        <f>+B67</f>
        <v>0.8219998234581157</v>
      </c>
      <c r="M67" s="639"/>
      <c r="N67" s="641">
        <v>-0.022322686061145736</v>
      </c>
      <c r="P67" s="638">
        <v>0.8146405481503719</v>
      </c>
      <c r="Q67" s="643">
        <v>0.7946462405582011</v>
      </c>
      <c r="R67" s="655">
        <v>0.7610456475162978</v>
      </c>
      <c r="S67" s="655">
        <v>0.731491594641369</v>
      </c>
      <c r="T67" s="655">
        <v>0.7268940316507011</v>
      </c>
      <c r="U67" s="656">
        <v>623.895523</v>
      </c>
      <c r="V67" s="639">
        <f>Q67/P67</f>
        <v>0.9754562823596645</v>
      </c>
      <c r="W67" s="639">
        <f>R67/Q67</f>
        <v>0.9577162876674525</v>
      </c>
      <c r="X67" s="639">
        <f>S67/R67</f>
        <v>0.9611665174469106</v>
      </c>
      <c r="Y67" s="639">
        <f>T67/S67</f>
        <v>0.993714810909178</v>
      </c>
      <c r="Z67" s="639">
        <f>T67/P67</f>
        <v>0.8922880567399968</v>
      </c>
      <c r="AA67" s="639"/>
      <c r="AB67" s="641">
        <f>((T67/P67)^0.25)-1</f>
        <v>-0.028089509030775894</v>
      </c>
    </row>
    <row r="68" ht="13.5" thickTop="1"/>
    <row r="69" spans="2:6" ht="22.5" customHeight="1">
      <c r="B69" s="731" t="s">
        <v>147</v>
      </c>
      <c r="C69" s="731"/>
      <c r="D69" s="731"/>
      <c r="E69" s="731"/>
      <c r="F69" s="731"/>
    </row>
  </sheetData>
  <sheetProtection/>
  <mergeCells count="33">
    <mergeCell ref="J1:P1"/>
    <mergeCell ref="B9:F9"/>
    <mergeCell ref="H9:L9"/>
    <mergeCell ref="P9:T9"/>
    <mergeCell ref="H2:R2"/>
    <mergeCell ref="J3:P3"/>
    <mergeCell ref="D4:W4"/>
    <mergeCell ref="D5:W5"/>
    <mergeCell ref="D7:W7"/>
    <mergeCell ref="A6:Y6"/>
    <mergeCell ref="P8:AB8"/>
    <mergeCell ref="E38:X38"/>
    <mergeCell ref="P24:T24"/>
    <mergeCell ref="B24:F24"/>
    <mergeCell ref="P23:AB23"/>
    <mergeCell ref="V40:Z40"/>
    <mergeCell ref="B8:N8"/>
    <mergeCell ref="H24:L24"/>
    <mergeCell ref="H40:L40"/>
    <mergeCell ref="V9:Z9"/>
    <mergeCell ref="B23:N23"/>
    <mergeCell ref="B39:N39"/>
    <mergeCell ref="B69:F69"/>
    <mergeCell ref="B55:F55"/>
    <mergeCell ref="H55:L55"/>
    <mergeCell ref="P55:T55"/>
    <mergeCell ref="B40:F40"/>
    <mergeCell ref="V24:Z24"/>
    <mergeCell ref="V55:Z55"/>
    <mergeCell ref="B54:N54"/>
    <mergeCell ref="P54:AB54"/>
    <mergeCell ref="P39:AB39"/>
    <mergeCell ref="P40:T40"/>
  </mergeCells>
  <printOptions/>
  <pageMargins left="0.75" right="0.75" top="1" bottom="1" header="0.5" footer="0.5"/>
  <pageSetup horizontalDpi="600" verticalDpi="600" orientation="landscape" scale="53" r:id="rId1"/>
  <headerFooter alignWithMargins="0">
    <oddFooter>&amp;L"&amp;F"&amp;R&amp;"Arial,Italic"&amp;A</oddFooter>
  </headerFooter>
</worksheet>
</file>

<file path=xl/worksheets/sheet22.xml><?xml version="1.0" encoding="utf-8"?>
<worksheet xmlns="http://schemas.openxmlformats.org/spreadsheetml/2006/main" xmlns:r="http://schemas.openxmlformats.org/officeDocument/2006/relationships">
  <dimension ref="A1:AC69"/>
  <sheetViews>
    <sheetView zoomScale="85" zoomScaleNormal="85" zoomScaleSheetLayoutView="85" zoomScalePageLayoutView="0" workbookViewId="0" topLeftCell="A1">
      <selection activeCell="N21" sqref="N21"/>
    </sheetView>
  </sheetViews>
  <sheetFormatPr defaultColWidth="9.140625" defaultRowHeight="12.75"/>
  <cols>
    <col min="1" max="1" width="10.57421875" style="609" bestFit="1" customWidth="1"/>
    <col min="2" max="3" width="8.140625" style="610" bestFit="1" customWidth="1"/>
    <col min="4" max="4" width="7.7109375" style="610" customWidth="1"/>
    <col min="5" max="5" width="7.8515625" style="610" bestFit="1" customWidth="1"/>
    <col min="6" max="6" width="8.140625" style="610" bestFit="1" customWidth="1"/>
    <col min="7" max="7" width="11.8515625" style="610" bestFit="1" customWidth="1"/>
    <col min="8" max="11" width="7.8515625" style="610" bestFit="1" customWidth="1"/>
    <col min="12" max="12" width="8.7109375" style="610" bestFit="1" customWidth="1"/>
    <col min="13" max="13" width="1.57421875" style="610" customWidth="1"/>
    <col min="14" max="14" width="11.140625" style="610" bestFit="1" customWidth="1"/>
    <col min="15" max="15" width="2.421875" style="610" customWidth="1"/>
    <col min="16" max="18" width="8.140625" style="610" bestFit="1" customWidth="1"/>
    <col min="19" max="19" width="7.8515625" style="610" bestFit="1" customWidth="1"/>
    <col min="20" max="20" width="8.140625" style="610" bestFit="1" customWidth="1"/>
    <col min="21" max="21" width="13.00390625" style="610" bestFit="1" customWidth="1"/>
    <col min="22" max="23" width="7.8515625" style="610" bestFit="1" customWidth="1"/>
    <col min="24" max="24" width="7.421875" style="610" customWidth="1"/>
    <col min="25" max="26" width="7.8515625" style="610" bestFit="1" customWidth="1"/>
    <col min="27" max="27" width="1.57421875" style="610" customWidth="1"/>
    <col min="28" max="28" width="11.00390625" style="610" bestFit="1" customWidth="1"/>
    <col min="29" max="29" width="3.00390625" style="610" customWidth="1"/>
    <col min="30" max="16384" width="9.140625" style="610" customWidth="1"/>
  </cols>
  <sheetData>
    <row r="1" spans="10:16" ht="18.75" customHeight="1">
      <c r="J1" s="733" t="s">
        <v>98</v>
      </c>
      <c r="K1" s="733"/>
      <c r="L1" s="733"/>
      <c r="M1" s="733"/>
      <c r="N1" s="733"/>
      <c r="O1" s="733"/>
      <c r="P1" s="733"/>
    </row>
    <row r="2" spans="2:29" ht="18" customHeight="1">
      <c r="B2" s="611"/>
      <c r="C2" s="611"/>
      <c r="E2" s="611"/>
      <c r="F2" s="611"/>
      <c r="G2" s="611"/>
      <c r="H2" s="734" t="s">
        <v>94</v>
      </c>
      <c r="I2" s="734"/>
      <c r="J2" s="734"/>
      <c r="K2" s="734"/>
      <c r="L2" s="734"/>
      <c r="M2" s="734"/>
      <c r="N2" s="734"/>
      <c r="O2" s="734"/>
      <c r="P2" s="734"/>
      <c r="Q2" s="734"/>
      <c r="R2" s="734"/>
      <c r="S2" s="611"/>
      <c r="T2" s="611"/>
      <c r="U2" s="611"/>
      <c r="V2" s="611"/>
      <c r="W2" s="611"/>
      <c r="X2" s="611"/>
      <c r="Y2" s="611"/>
      <c r="Z2" s="611"/>
      <c r="AA2" s="611"/>
      <c r="AB2" s="611"/>
      <c r="AC2" s="611"/>
    </row>
    <row r="3" spans="2:27" ht="18" customHeight="1">
      <c r="B3" s="612"/>
      <c r="C3" s="612"/>
      <c r="E3" s="612"/>
      <c r="F3" s="612"/>
      <c r="G3" s="612"/>
      <c r="H3" s="612"/>
      <c r="I3" s="612"/>
      <c r="J3" s="735" t="s">
        <v>1</v>
      </c>
      <c r="K3" s="735"/>
      <c r="L3" s="735"/>
      <c r="M3" s="735"/>
      <c r="N3" s="735"/>
      <c r="O3" s="735"/>
      <c r="P3" s="735"/>
      <c r="Q3" s="612"/>
      <c r="R3" s="612"/>
      <c r="S3" s="612"/>
      <c r="T3" s="612"/>
      <c r="U3" s="612"/>
      <c r="V3" s="612"/>
      <c r="W3" s="612"/>
      <c r="X3" s="612"/>
      <c r="Y3" s="613"/>
      <c r="Z3" s="613"/>
      <c r="AA3" s="613"/>
    </row>
    <row r="4" spans="2:27" ht="18" customHeight="1">
      <c r="B4" s="614"/>
      <c r="C4" s="614"/>
      <c r="D4" s="732" t="s">
        <v>127</v>
      </c>
      <c r="E4" s="732"/>
      <c r="F4" s="732"/>
      <c r="G4" s="732"/>
      <c r="H4" s="732"/>
      <c r="I4" s="732"/>
      <c r="J4" s="732"/>
      <c r="K4" s="732"/>
      <c r="L4" s="732"/>
      <c r="M4" s="732"/>
      <c r="N4" s="732"/>
      <c r="O4" s="732"/>
      <c r="P4" s="732"/>
      <c r="Q4" s="732"/>
      <c r="R4" s="732"/>
      <c r="S4" s="732"/>
      <c r="T4" s="732"/>
      <c r="U4" s="732"/>
      <c r="V4" s="732"/>
      <c r="W4" s="732"/>
      <c r="X4" s="614"/>
      <c r="Y4" s="613"/>
      <c r="Z4" s="613"/>
      <c r="AA4" s="613"/>
    </row>
    <row r="5" spans="2:27" ht="18" customHeight="1">
      <c r="B5" s="614"/>
      <c r="C5" s="614"/>
      <c r="D5" s="732" t="s">
        <v>140</v>
      </c>
      <c r="E5" s="732"/>
      <c r="F5" s="732"/>
      <c r="G5" s="732"/>
      <c r="H5" s="732"/>
      <c r="I5" s="732"/>
      <c r="J5" s="732"/>
      <c r="K5" s="732"/>
      <c r="L5" s="732"/>
      <c r="M5" s="732"/>
      <c r="N5" s="732"/>
      <c r="O5" s="732"/>
      <c r="P5" s="732"/>
      <c r="Q5" s="732"/>
      <c r="R5" s="732"/>
      <c r="S5" s="732"/>
      <c r="T5" s="732"/>
      <c r="U5" s="732"/>
      <c r="V5" s="732"/>
      <c r="W5" s="732"/>
      <c r="X5" s="614"/>
      <c r="Y5" s="613"/>
      <c r="Z5" s="613"/>
      <c r="AA5" s="613"/>
    </row>
    <row r="6" spans="1:27" ht="18" customHeight="1">
      <c r="A6" s="736" t="s">
        <v>88</v>
      </c>
      <c r="B6" s="736"/>
      <c r="C6" s="736"/>
      <c r="D6" s="736"/>
      <c r="E6" s="736"/>
      <c r="F6" s="736"/>
      <c r="G6" s="736"/>
      <c r="H6" s="736"/>
      <c r="I6" s="736"/>
      <c r="J6" s="736"/>
      <c r="K6" s="736"/>
      <c r="L6" s="736"/>
      <c r="M6" s="736"/>
      <c r="N6" s="736"/>
      <c r="O6" s="736"/>
      <c r="P6" s="736"/>
      <c r="Q6" s="736"/>
      <c r="R6" s="736"/>
      <c r="S6" s="736"/>
      <c r="T6" s="736"/>
      <c r="U6" s="736"/>
      <c r="V6" s="736"/>
      <c r="W6" s="736"/>
      <c r="X6" s="736"/>
      <c r="Y6" s="736"/>
      <c r="Z6" s="613"/>
      <c r="AA6" s="613"/>
    </row>
    <row r="7" spans="2:27" ht="18" customHeight="1">
      <c r="B7" s="615"/>
      <c r="C7" s="615"/>
      <c r="D7" s="736" t="s">
        <v>184</v>
      </c>
      <c r="E7" s="736"/>
      <c r="F7" s="736"/>
      <c r="G7" s="736"/>
      <c r="H7" s="736"/>
      <c r="I7" s="736"/>
      <c r="J7" s="736"/>
      <c r="K7" s="736"/>
      <c r="L7" s="736"/>
      <c r="M7" s="736"/>
      <c r="N7" s="736"/>
      <c r="O7" s="736"/>
      <c r="P7" s="736"/>
      <c r="Q7" s="736"/>
      <c r="R7" s="736"/>
      <c r="S7" s="736"/>
      <c r="T7" s="736"/>
      <c r="U7" s="736"/>
      <c r="V7" s="736"/>
      <c r="W7" s="736"/>
      <c r="X7" s="613"/>
      <c r="Y7" s="613"/>
      <c r="Z7" s="613"/>
      <c r="AA7" s="613"/>
    </row>
    <row r="8" spans="1:28" ht="18" customHeight="1">
      <c r="A8" s="616"/>
      <c r="B8" s="729" t="s">
        <v>268</v>
      </c>
      <c r="C8" s="729"/>
      <c r="D8" s="729"/>
      <c r="E8" s="729"/>
      <c r="F8" s="729"/>
      <c r="G8" s="729"/>
      <c r="H8" s="729"/>
      <c r="I8" s="729"/>
      <c r="J8" s="729"/>
      <c r="K8" s="729"/>
      <c r="L8" s="729"/>
      <c r="M8" s="729"/>
      <c r="N8" s="729"/>
      <c r="O8" s="616"/>
      <c r="P8" s="729" t="s">
        <v>269</v>
      </c>
      <c r="Q8" s="729"/>
      <c r="R8" s="729"/>
      <c r="S8" s="729"/>
      <c r="T8" s="729"/>
      <c r="U8" s="729"/>
      <c r="V8" s="729"/>
      <c r="W8" s="729"/>
      <c r="X8" s="729"/>
      <c r="Y8" s="729"/>
      <c r="Z8" s="729"/>
      <c r="AA8" s="729"/>
      <c r="AB8" s="729"/>
    </row>
    <row r="9" spans="1:28" ht="27">
      <c r="A9" s="617"/>
      <c r="B9" s="730" t="s">
        <v>81</v>
      </c>
      <c r="C9" s="726"/>
      <c r="D9" s="726"/>
      <c r="E9" s="726"/>
      <c r="F9" s="726"/>
      <c r="G9" s="618" t="s">
        <v>128</v>
      </c>
      <c r="H9" s="726" t="s">
        <v>143</v>
      </c>
      <c r="I9" s="726"/>
      <c r="J9" s="726"/>
      <c r="K9" s="726"/>
      <c r="L9" s="726"/>
      <c r="M9" s="618"/>
      <c r="N9" s="619" t="s">
        <v>265</v>
      </c>
      <c r="P9" s="730" t="s">
        <v>81</v>
      </c>
      <c r="Q9" s="726"/>
      <c r="R9" s="726"/>
      <c r="S9" s="726"/>
      <c r="T9" s="726"/>
      <c r="U9" s="618" t="s">
        <v>128</v>
      </c>
      <c r="V9" s="726" t="s">
        <v>143</v>
      </c>
      <c r="W9" s="726"/>
      <c r="X9" s="726"/>
      <c r="Y9" s="726"/>
      <c r="Z9" s="726"/>
      <c r="AA9" s="618"/>
      <c r="AB9" s="619" t="s">
        <v>265</v>
      </c>
    </row>
    <row r="10" spans="1:28" ht="12.75">
      <c r="A10" s="609" t="s">
        <v>11</v>
      </c>
      <c r="B10" s="620">
        <v>2003</v>
      </c>
      <c r="C10" s="621">
        <v>2004</v>
      </c>
      <c r="D10" s="621">
        <v>2005</v>
      </c>
      <c r="E10" s="621">
        <v>2006</v>
      </c>
      <c r="F10" s="621">
        <v>2007</v>
      </c>
      <c r="G10" s="621">
        <v>2007</v>
      </c>
      <c r="H10" s="622" t="s">
        <v>89</v>
      </c>
      <c r="I10" s="623" t="s">
        <v>90</v>
      </c>
      <c r="J10" s="623" t="s">
        <v>91</v>
      </c>
      <c r="K10" s="623" t="s">
        <v>92</v>
      </c>
      <c r="L10" s="623" t="s">
        <v>93</v>
      </c>
      <c r="M10" s="623"/>
      <c r="N10" s="624" t="s">
        <v>93</v>
      </c>
      <c r="P10" s="620">
        <v>2003</v>
      </c>
      <c r="Q10" s="621">
        <v>2004</v>
      </c>
      <c r="R10" s="621">
        <v>2005</v>
      </c>
      <c r="S10" s="621">
        <v>2006</v>
      </c>
      <c r="T10" s="621">
        <v>2007</v>
      </c>
      <c r="U10" s="621">
        <v>2007</v>
      </c>
      <c r="V10" s="622" t="s">
        <v>89</v>
      </c>
      <c r="W10" s="623" t="s">
        <v>90</v>
      </c>
      <c r="X10" s="623" t="s">
        <v>91</v>
      </c>
      <c r="Y10" s="623" t="s">
        <v>92</v>
      </c>
      <c r="Z10" s="623" t="s">
        <v>93</v>
      </c>
      <c r="AA10" s="623"/>
      <c r="AB10" s="624" t="s">
        <v>93</v>
      </c>
    </row>
    <row r="11" spans="1:28" s="629" customFormat="1" ht="12.75">
      <c r="A11" s="625" t="s">
        <v>95</v>
      </c>
      <c r="B11" s="626">
        <v>0.7201360967205795</v>
      </c>
      <c r="C11" s="627">
        <v>0.7377020133075872</v>
      </c>
      <c r="D11" s="627">
        <v>0.6951611269325043</v>
      </c>
      <c r="E11" s="627">
        <v>0.6811812727914524</v>
      </c>
      <c r="F11" s="627">
        <v>0.7154953992131096</v>
      </c>
      <c r="G11" s="571">
        <v>803</v>
      </c>
      <c r="H11" s="564">
        <v>1.0243924956227037</v>
      </c>
      <c r="I11" s="564">
        <v>0.942333238072179</v>
      </c>
      <c r="J11" s="564">
        <v>0.9798897642583382</v>
      </c>
      <c r="K11" s="564">
        <v>1.0503744418589773</v>
      </c>
      <c r="L11" s="564">
        <v>0.9935558048977087</v>
      </c>
      <c r="M11" s="564"/>
      <c r="N11" s="628">
        <v>-0.0016149566930092618</v>
      </c>
      <c r="P11" s="626">
        <v>0.7409542264029081</v>
      </c>
      <c r="Q11" s="627">
        <v>0.7475114198847598</v>
      </c>
      <c r="R11" s="627">
        <v>0.6929302604380364</v>
      </c>
      <c r="S11" s="627">
        <v>0.6651741868003512</v>
      </c>
      <c r="T11" s="627">
        <v>0.7159415547428906</v>
      </c>
      <c r="U11" s="571">
        <v>578</v>
      </c>
      <c r="V11" s="564">
        <v>1.0088496606783455</v>
      </c>
      <c r="W11" s="564">
        <v>0.9269828420077677</v>
      </c>
      <c r="X11" s="564">
        <v>0.9599439146731171</v>
      </c>
      <c r="Y11" s="564">
        <v>1.0763219152967174</v>
      </c>
      <c r="Z11" s="564">
        <v>0.9662426223257462</v>
      </c>
      <c r="AA11" s="564"/>
      <c r="AB11" s="628">
        <v>-0.008548332064486686</v>
      </c>
    </row>
    <row r="12" spans="1:28" s="629" customFormat="1" ht="9" customHeight="1">
      <c r="A12" s="625"/>
      <c r="B12" s="626"/>
      <c r="C12" s="627"/>
      <c r="D12" s="627"/>
      <c r="E12" s="627"/>
      <c r="F12" s="627"/>
      <c r="G12" s="571"/>
      <c r="H12" s="627"/>
      <c r="I12" s="627"/>
      <c r="J12" s="627"/>
      <c r="K12" s="627"/>
      <c r="L12" s="627"/>
      <c r="M12" s="627"/>
      <c r="N12" s="630"/>
      <c r="P12" s="657"/>
      <c r="U12" s="572"/>
      <c r="V12" s="627"/>
      <c r="W12" s="627"/>
      <c r="X12" s="627"/>
      <c r="Y12" s="627"/>
      <c r="Z12" s="627"/>
      <c r="AA12" s="627"/>
      <c r="AB12" s="630"/>
    </row>
    <row r="13" spans="1:28" s="629" customFormat="1" ht="12.75">
      <c r="A13" s="625" t="s">
        <v>20</v>
      </c>
      <c r="B13" s="626">
        <v>0.8172604603040698</v>
      </c>
      <c r="C13" s="627">
        <v>0.748569601545435</v>
      </c>
      <c r="D13" s="627">
        <v>0.8131680119783599</v>
      </c>
      <c r="E13" s="627">
        <v>0.8024842475128637</v>
      </c>
      <c r="F13" s="627">
        <v>0.7833545592289873</v>
      </c>
      <c r="G13" s="571">
        <v>936</v>
      </c>
      <c r="H13" s="627">
        <v>0.9159498567530383</v>
      </c>
      <c r="I13" s="627">
        <v>1.0862957970769322</v>
      </c>
      <c r="J13" s="627">
        <v>0.986861553445144</v>
      </c>
      <c r="K13" s="627">
        <v>0.9761619142766167</v>
      </c>
      <c r="L13" s="627">
        <v>0.9585127352637769</v>
      </c>
      <c r="M13" s="627"/>
      <c r="N13" s="630">
        <v>-0.010537198110220358</v>
      </c>
      <c r="P13" s="626">
        <v>0.888420376240655</v>
      </c>
      <c r="Q13" s="627">
        <v>0.7863692709085323</v>
      </c>
      <c r="R13" s="627">
        <v>0.8312095642646167</v>
      </c>
      <c r="S13" s="627">
        <v>0.7757053358300194</v>
      </c>
      <c r="T13" s="627">
        <v>0.7843120907684504</v>
      </c>
      <c r="U13" s="572">
        <v>651</v>
      </c>
      <c r="V13" s="627">
        <v>0.8851319622317182</v>
      </c>
      <c r="W13" s="627">
        <v>1.0570219297916845</v>
      </c>
      <c r="X13" s="627">
        <v>0.9332247476198103</v>
      </c>
      <c r="Y13" s="627">
        <v>1.0110953922074308</v>
      </c>
      <c r="Z13" s="627">
        <v>0.8828164141025918</v>
      </c>
      <c r="AA13" s="627"/>
      <c r="AB13" s="630">
        <v>-0.030679048743993187</v>
      </c>
    </row>
    <row r="14" spans="1:28" s="629" customFormat="1" ht="9" customHeight="1">
      <c r="A14" s="625"/>
      <c r="B14" s="626"/>
      <c r="C14" s="627"/>
      <c r="D14" s="627"/>
      <c r="E14" s="627"/>
      <c r="F14" s="627"/>
      <c r="G14" s="571"/>
      <c r="H14" s="627"/>
      <c r="I14" s="627"/>
      <c r="J14" s="627"/>
      <c r="K14" s="627"/>
      <c r="L14" s="627"/>
      <c r="M14" s="627"/>
      <c r="N14" s="630"/>
      <c r="P14" s="657"/>
      <c r="U14" s="572"/>
      <c r="V14" s="627"/>
      <c r="W14" s="627"/>
      <c r="X14" s="627"/>
      <c r="Y14" s="627"/>
      <c r="Z14" s="627"/>
      <c r="AA14" s="627"/>
      <c r="AB14" s="630"/>
    </row>
    <row r="15" spans="1:28" s="629" customFormat="1" ht="12.75">
      <c r="A15" s="625" t="s">
        <v>21</v>
      </c>
      <c r="B15" s="626">
        <v>0.9774879103752182</v>
      </c>
      <c r="C15" s="627">
        <v>0.9340766695595731</v>
      </c>
      <c r="D15" s="627">
        <v>0.935716026569419</v>
      </c>
      <c r="E15" s="627">
        <v>0.8612004615560837</v>
      </c>
      <c r="F15" s="627">
        <v>0.8682876462327758</v>
      </c>
      <c r="G15" s="571">
        <v>704</v>
      </c>
      <c r="H15" s="627">
        <v>0.9555889741910145</v>
      </c>
      <c r="I15" s="627">
        <v>1.001755056156813</v>
      </c>
      <c r="J15" s="627">
        <v>0.92036519318096</v>
      </c>
      <c r="K15" s="627">
        <v>1.008229425079367</v>
      </c>
      <c r="L15" s="627">
        <v>0.8882847931075435</v>
      </c>
      <c r="M15" s="627"/>
      <c r="N15" s="630">
        <v>-0.02918147063190002</v>
      </c>
      <c r="P15" s="626">
        <v>1.02441314516657</v>
      </c>
      <c r="Q15" s="627">
        <v>0.9882254136521539</v>
      </c>
      <c r="R15" s="627">
        <v>0.9530814557901416</v>
      </c>
      <c r="S15" s="627">
        <v>0.8023146326413134</v>
      </c>
      <c r="T15" s="627">
        <v>0.845696839897696</v>
      </c>
      <c r="U15" s="572">
        <v>485</v>
      </c>
      <c r="V15" s="627">
        <v>0.9646746708736036</v>
      </c>
      <c r="W15" s="627">
        <v>0.9644373061282325</v>
      </c>
      <c r="X15" s="627">
        <v>0.841811188085874</v>
      </c>
      <c r="Y15" s="627">
        <v>1.0540713150320633</v>
      </c>
      <c r="Z15" s="627">
        <v>0.825542745022259</v>
      </c>
      <c r="AA15" s="627"/>
      <c r="AB15" s="630">
        <v>-0.04679811770609976</v>
      </c>
    </row>
    <row r="16" spans="1:28" s="629" customFormat="1" ht="9" customHeight="1">
      <c r="A16" s="625"/>
      <c r="B16" s="626"/>
      <c r="C16" s="627"/>
      <c r="D16" s="627"/>
      <c r="E16" s="627"/>
      <c r="F16" s="627"/>
      <c r="G16" s="571"/>
      <c r="H16" s="627"/>
      <c r="I16" s="627"/>
      <c r="J16" s="627"/>
      <c r="K16" s="627"/>
      <c r="L16" s="627"/>
      <c r="M16" s="627"/>
      <c r="N16" s="630"/>
      <c r="P16" s="657"/>
      <c r="U16" s="572"/>
      <c r="V16" s="627"/>
      <c r="W16" s="627"/>
      <c r="X16" s="627"/>
      <c r="Y16" s="627"/>
      <c r="Z16" s="627"/>
      <c r="AA16" s="627"/>
      <c r="AB16" s="630"/>
    </row>
    <row r="17" spans="1:28" s="629" customFormat="1" ht="12.75">
      <c r="A17" s="625" t="s">
        <v>22</v>
      </c>
      <c r="B17" s="626">
        <v>0.853597990937985</v>
      </c>
      <c r="C17" s="627">
        <v>0.7787714271878451</v>
      </c>
      <c r="D17" s="627">
        <v>0.9003835312277483</v>
      </c>
      <c r="E17" s="627">
        <v>0.9093827237703705</v>
      </c>
      <c r="F17" s="627">
        <v>0.9408165998085523</v>
      </c>
      <c r="G17" s="571">
        <v>279</v>
      </c>
      <c r="H17" s="627">
        <v>0.9123398080308085</v>
      </c>
      <c r="I17" s="627">
        <v>1.156158918771643</v>
      </c>
      <c r="J17" s="627">
        <v>1.0099948435644432</v>
      </c>
      <c r="K17" s="627">
        <v>1.0345661680352298</v>
      </c>
      <c r="L17" s="627">
        <v>1.1021776173286515</v>
      </c>
      <c r="M17" s="627"/>
      <c r="N17" s="630">
        <v>0.024620160458586948</v>
      </c>
      <c r="P17" s="626">
        <v>0.9177561059870629</v>
      </c>
      <c r="Q17" s="627">
        <v>0.8162703975252332</v>
      </c>
      <c r="R17" s="627">
        <v>0.8277679495618503</v>
      </c>
      <c r="S17" s="627">
        <v>0.8782634483635465</v>
      </c>
      <c r="T17" s="627">
        <v>0.9063644202181319</v>
      </c>
      <c r="U17" s="572">
        <v>205</v>
      </c>
      <c r="V17" s="627">
        <v>0.889419740386603</v>
      </c>
      <c r="W17" s="627">
        <v>1.014085469804461</v>
      </c>
      <c r="X17" s="627">
        <v>1.0610019979976566</v>
      </c>
      <c r="Y17" s="627">
        <v>1.0319960621234385</v>
      </c>
      <c r="Z17" s="627">
        <v>0.9875874584820342</v>
      </c>
      <c r="AA17" s="627"/>
      <c r="AB17" s="630">
        <v>-0.0031176850393437316</v>
      </c>
    </row>
    <row r="18" spans="1:28" s="629" customFormat="1" ht="9" customHeight="1">
      <c r="A18" s="625"/>
      <c r="B18" s="626"/>
      <c r="C18" s="627"/>
      <c r="D18" s="627"/>
      <c r="E18" s="627"/>
      <c r="F18" s="627"/>
      <c r="G18" s="571"/>
      <c r="H18" s="627"/>
      <c r="I18" s="627"/>
      <c r="J18" s="627"/>
      <c r="K18" s="627"/>
      <c r="L18" s="627"/>
      <c r="M18" s="627"/>
      <c r="N18" s="630"/>
      <c r="P18" s="626"/>
      <c r="Q18" s="627"/>
      <c r="R18" s="627"/>
      <c r="S18" s="627"/>
      <c r="T18" s="627"/>
      <c r="U18" s="572"/>
      <c r="V18" s="627"/>
      <c r="W18" s="627"/>
      <c r="X18" s="627"/>
      <c r="Y18" s="627"/>
      <c r="Z18" s="627"/>
      <c r="AA18" s="627"/>
      <c r="AB18" s="630"/>
    </row>
    <row r="19" spans="1:28" s="629" customFormat="1" ht="12.75">
      <c r="A19" s="631" t="s">
        <v>96</v>
      </c>
      <c r="B19" s="632">
        <v>0.8849891523756108</v>
      </c>
      <c r="C19" s="633">
        <v>0.869263960190231</v>
      </c>
      <c r="D19" s="633">
        <v>0.8428407651213499</v>
      </c>
      <c r="E19" s="633">
        <v>0.7135001488336271</v>
      </c>
      <c r="F19" s="633">
        <v>0.9114499679547536</v>
      </c>
      <c r="G19" s="634">
        <v>41</v>
      </c>
      <c r="H19" s="633">
        <v>0.982231203463717</v>
      </c>
      <c r="I19" s="633">
        <v>0.9696027946872448</v>
      </c>
      <c r="J19" s="633">
        <v>0.846542049649081</v>
      </c>
      <c r="K19" s="633">
        <v>1.2774348673153313</v>
      </c>
      <c r="L19" s="633">
        <v>1.029899593128473</v>
      </c>
      <c r="M19" s="633"/>
      <c r="N19" s="635">
        <v>0.007392519521811192</v>
      </c>
      <c r="P19" s="632">
        <v>0.988369507172801</v>
      </c>
      <c r="Q19" s="633">
        <v>1.3025487985434607</v>
      </c>
      <c r="R19" s="633">
        <v>0.9263745313702839</v>
      </c>
      <c r="S19" s="633">
        <v>1.0997692317562033</v>
      </c>
      <c r="T19" s="633">
        <v>0.9990471587723213</v>
      </c>
      <c r="U19" s="636">
        <v>32</v>
      </c>
      <c r="V19" s="633">
        <v>1.317876349979027</v>
      </c>
      <c r="W19" s="633">
        <v>0.7112014017487688</v>
      </c>
      <c r="X19" s="633">
        <v>1.1871755909884911</v>
      </c>
      <c r="Y19" s="633">
        <v>0.9084152656070942</v>
      </c>
      <c r="Z19" s="633">
        <v>1.0108032992944747</v>
      </c>
      <c r="AA19" s="633"/>
      <c r="AB19" s="635">
        <v>0.002689951587159456</v>
      </c>
    </row>
    <row r="20" spans="1:28" s="629" customFormat="1" ht="4.5" customHeight="1">
      <c r="A20" s="625"/>
      <c r="B20" s="626"/>
      <c r="C20" s="627"/>
      <c r="D20" s="627"/>
      <c r="E20" s="627"/>
      <c r="F20" s="627"/>
      <c r="G20" s="627"/>
      <c r="H20" s="627"/>
      <c r="I20" s="627"/>
      <c r="J20" s="627"/>
      <c r="K20" s="627"/>
      <c r="L20" s="627"/>
      <c r="M20" s="627"/>
      <c r="N20" s="630"/>
      <c r="P20" s="626"/>
      <c r="Q20" s="627"/>
      <c r="R20" s="650"/>
      <c r="S20" s="650"/>
      <c r="T20" s="650"/>
      <c r="U20" s="572"/>
      <c r="V20" s="627"/>
      <c r="W20" s="627"/>
      <c r="X20" s="627"/>
      <c r="Y20" s="627"/>
      <c r="Z20" s="627"/>
      <c r="AA20" s="627"/>
      <c r="AB20" s="630"/>
    </row>
    <row r="21" spans="1:28" ht="13.5" thickBot="1">
      <c r="A21" s="637" t="s">
        <v>84</v>
      </c>
      <c r="B21" s="638">
        <v>0.8334386698027952</v>
      </c>
      <c r="C21" s="639">
        <v>0.795839024758831</v>
      </c>
      <c r="D21" s="639">
        <v>0.820387215967869</v>
      </c>
      <c r="E21" s="639">
        <v>0.7876844694162595</v>
      </c>
      <c r="F21" s="639">
        <v>0.7963715800502675</v>
      </c>
      <c r="G21" s="640">
        <v>2763</v>
      </c>
      <c r="H21" s="639">
        <v>0.9548861285103786</v>
      </c>
      <c r="I21" s="639">
        <v>1.0308456741191814</v>
      </c>
      <c r="J21" s="639">
        <v>0.9601374254558224</v>
      </c>
      <c r="K21" s="639">
        <v>1.011028668167656</v>
      </c>
      <c r="L21" s="639">
        <v>0.9555251140899206</v>
      </c>
      <c r="M21" s="639"/>
      <c r="N21" s="641">
        <v>-0.011309123586532577</v>
      </c>
      <c r="P21" s="642">
        <v>0.8750826962339989</v>
      </c>
      <c r="Q21" s="643">
        <v>0.8310082138930618</v>
      </c>
      <c r="R21" s="643">
        <v>0.8141737277386853</v>
      </c>
      <c r="S21" s="643">
        <v>0.7590952473308172</v>
      </c>
      <c r="T21" s="643">
        <v>0.7901806602477424</v>
      </c>
      <c r="U21" s="644">
        <v>1951</v>
      </c>
      <c r="V21" s="639">
        <v>0.9496339231359323</v>
      </c>
      <c r="W21" s="639">
        <v>0.9797420941539059</v>
      </c>
      <c r="X21" s="639">
        <v>0.9323504572410547</v>
      </c>
      <c r="Y21" s="639">
        <v>1.040950609328974</v>
      </c>
      <c r="Z21" s="639">
        <v>0.9029782712518023</v>
      </c>
      <c r="AA21" s="639"/>
      <c r="AB21" s="641">
        <v>-0.025191460659617748</v>
      </c>
    </row>
    <row r="22" spans="1:18" ht="13.5" thickTop="1">
      <c r="A22" s="625"/>
      <c r="B22" s="645"/>
      <c r="C22" s="645"/>
      <c r="D22" s="646"/>
      <c r="E22" s="646"/>
      <c r="F22" s="646"/>
      <c r="G22" s="646"/>
      <c r="H22" s="646"/>
      <c r="I22" s="646"/>
      <c r="J22" s="646"/>
      <c r="K22" s="646"/>
      <c r="L22" s="646"/>
      <c r="M22" s="646"/>
      <c r="N22" s="646"/>
      <c r="P22" s="646"/>
      <c r="Q22" s="646"/>
      <c r="R22" s="646"/>
    </row>
    <row r="23" spans="1:28" ht="12.75">
      <c r="A23" s="625"/>
      <c r="B23" s="727" t="s">
        <v>259</v>
      </c>
      <c r="C23" s="727"/>
      <c r="D23" s="727"/>
      <c r="E23" s="727"/>
      <c r="F23" s="727"/>
      <c r="G23" s="727"/>
      <c r="H23" s="727"/>
      <c r="I23" s="727"/>
      <c r="J23" s="727"/>
      <c r="K23" s="727"/>
      <c r="L23" s="727"/>
      <c r="M23" s="727"/>
      <c r="N23" s="727"/>
      <c r="P23" s="728" t="s">
        <v>260</v>
      </c>
      <c r="Q23" s="728"/>
      <c r="R23" s="728"/>
      <c r="S23" s="728"/>
      <c r="T23" s="728"/>
      <c r="U23" s="728"/>
      <c r="V23" s="728"/>
      <c r="W23" s="728"/>
      <c r="X23" s="728"/>
      <c r="Y23" s="728"/>
      <c r="Z23" s="728"/>
      <c r="AA23" s="728"/>
      <c r="AB23" s="728"/>
    </row>
    <row r="24" spans="1:28" s="648" customFormat="1" ht="27">
      <c r="A24" s="647"/>
      <c r="B24" s="730" t="s">
        <v>81</v>
      </c>
      <c r="C24" s="726"/>
      <c r="D24" s="726"/>
      <c r="E24" s="726"/>
      <c r="F24" s="726"/>
      <c r="G24" s="618" t="s">
        <v>129</v>
      </c>
      <c r="H24" s="726" t="s">
        <v>143</v>
      </c>
      <c r="I24" s="726"/>
      <c r="J24" s="726"/>
      <c r="K24" s="726"/>
      <c r="L24" s="726"/>
      <c r="M24" s="618"/>
      <c r="N24" s="619" t="s">
        <v>265</v>
      </c>
      <c r="P24" s="730" t="s">
        <v>81</v>
      </c>
      <c r="Q24" s="726"/>
      <c r="R24" s="726"/>
      <c r="S24" s="726"/>
      <c r="T24" s="726"/>
      <c r="U24" s="618" t="s">
        <v>129</v>
      </c>
      <c r="V24" s="726" t="s">
        <v>143</v>
      </c>
      <c r="W24" s="726"/>
      <c r="X24" s="726"/>
      <c r="Y24" s="726"/>
      <c r="Z24" s="726"/>
      <c r="AA24" s="618"/>
      <c r="AB24" s="619" t="s">
        <v>265</v>
      </c>
    </row>
    <row r="25" spans="1:28" ht="12.75">
      <c r="A25" s="609" t="s">
        <v>11</v>
      </c>
      <c r="B25" s="620">
        <v>2003</v>
      </c>
      <c r="C25" s="621">
        <v>2004</v>
      </c>
      <c r="D25" s="621">
        <v>2005</v>
      </c>
      <c r="E25" s="621">
        <v>2006</v>
      </c>
      <c r="F25" s="621">
        <v>2007</v>
      </c>
      <c r="G25" s="621">
        <v>2007</v>
      </c>
      <c r="H25" s="622" t="s">
        <v>89</v>
      </c>
      <c r="I25" s="623" t="s">
        <v>90</v>
      </c>
      <c r="J25" s="623" t="s">
        <v>91</v>
      </c>
      <c r="K25" s="623" t="s">
        <v>92</v>
      </c>
      <c r="L25" s="623" t="s">
        <v>93</v>
      </c>
      <c r="M25" s="623"/>
      <c r="N25" s="624" t="s">
        <v>93</v>
      </c>
      <c r="O25" s="649"/>
      <c r="P25" s="620">
        <v>2003</v>
      </c>
      <c r="Q25" s="621">
        <v>2004</v>
      </c>
      <c r="R25" s="621">
        <v>2005</v>
      </c>
      <c r="S25" s="621">
        <v>2006</v>
      </c>
      <c r="T25" s="621">
        <v>2007</v>
      </c>
      <c r="U25" s="621">
        <v>2007</v>
      </c>
      <c r="V25" s="622" t="s">
        <v>89</v>
      </c>
      <c r="W25" s="623" t="s">
        <v>90</v>
      </c>
      <c r="X25" s="623" t="s">
        <v>91</v>
      </c>
      <c r="Y25" s="623" t="s">
        <v>92</v>
      </c>
      <c r="Z25" s="623" t="s">
        <v>93</v>
      </c>
      <c r="AA25" s="623"/>
      <c r="AB25" s="624" t="s">
        <v>93</v>
      </c>
    </row>
    <row r="26" spans="1:28" ht="12.75">
      <c r="A26" s="625" t="s">
        <v>95</v>
      </c>
      <c r="B26" s="626">
        <v>0.6707771051143819</v>
      </c>
      <c r="C26" s="650">
        <v>0.7207557148049869</v>
      </c>
      <c r="D26" s="650">
        <v>0.6186495760884119</v>
      </c>
      <c r="E26" s="627">
        <v>0.64717693875031</v>
      </c>
      <c r="F26" s="627">
        <v>0.6450860976949234</v>
      </c>
      <c r="G26" s="651">
        <v>132.990264</v>
      </c>
      <c r="H26" s="564">
        <v>1.0745085205048592</v>
      </c>
      <c r="I26" s="564">
        <v>0.8583346109934048</v>
      </c>
      <c r="J26" s="564">
        <v>1.0461123126314424</v>
      </c>
      <c r="K26" s="564">
        <v>0.9967692899264551</v>
      </c>
      <c r="L26" s="564">
        <v>0.9616996358051343</v>
      </c>
      <c r="M26" s="564"/>
      <c r="N26" s="628">
        <v>-0.009715770437402682</v>
      </c>
      <c r="P26" s="626">
        <v>0.6868190323112087</v>
      </c>
      <c r="Q26" s="627">
        <v>0.7393059002103914</v>
      </c>
      <c r="R26" s="650">
        <v>0.6140870057697607</v>
      </c>
      <c r="S26" s="650">
        <v>0.6121595258647323</v>
      </c>
      <c r="T26" s="650">
        <v>0.6470842147474737</v>
      </c>
      <c r="U26" s="565">
        <v>91.813619</v>
      </c>
      <c r="V26" s="564">
        <v>1.076420229245191</v>
      </c>
      <c r="W26" s="564">
        <v>0.8306264099813135</v>
      </c>
      <c r="X26" s="564">
        <v>0.9968612266878824</v>
      </c>
      <c r="Y26" s="564">
        <v>1.057051613847562</v>
      </c>
      <c r="Z26" s="564">
        <v>0.9421465980201165</v>
      </c>
      <c r="AA26" s="564"/>
      <c r="AB26" s="628">
        <v>-0.014788163082355976</v>
      </c>
    </row>
    <row r="27" spans="1:28" ht="9" customHeight="1">
      <c r="A27" s="625"/>
      <c r="B27" s="626"/>
      <c r="C27" s="650"/>
      <c r="D27" s="650"/>
      <c r="G27" s="651"/>
      <c r="H27" s="627"/>
      <c r="I27" s="627"/>
      <c r="J27" s="627"/>
      <c r="K27" s="627"/>
      <c r="L27" s="627"/>
      <c r="M27" s="627"/>
      <c r="N27" s="630"/>
      <c r="P27" s="626"/>
      <c r="Q27" s="627"/>
      <c r="R27" s="650"/>
      <c r="S27" s="650"/>
      <c r="T27" s="650"/>
      <c r="U27" s="565"/>
      <c r="V27" s="627"/>
      <c r="W27" s="627"/>
      <c r="X27" s="627"/>
      <c r="Y27" s="627"/>
      <c r="Z27" s="627"/>
      <c r="AA27" s="627"/>
      <c r="AB27" s="630"/>
    </row>
    <row r="28" spans="1:28" ht="12.75">
      <c r="A28" s="625" t="s">
        <v>20</v>
      </c>
      <c r="B28" s="626">
        <v>0.7379426660464782</v>
      </c>
      <c r="C28" s="650">
        <v>0.7184554373747644</v>
      </c>
      <c r="D28" s="650">
        <v>0.7855077086876394</v>
      </c>
      <c r="E28" s="627">
        <v>0.7630395348352792</v>
      </c>
      <c r="F28" s="627">
        <v>0.7270267766165494</v>
      </c>
      <c r="G28" s="651">
        <v>176.417442</v>
      </c>
      <c r="H28" s="627">
        <v>0.9735924895410689</v>
      </c>
      <c r="I28" s="627">
        <v>1.093328365024119</v>
      </c>
      <c r="J28" s="627">
        <v>0.9713966220778429</v>
      </c>
      <c r="K28" s="627">
        <v>0.9528035487355133</v>
      </c>
      <c r="L28" s="627">
        <v>0.9852076727201442</v>
      </c>
      <c r="M28" s="627"/>
      <c r="N28" s="630">
        <v>-0.0037187743639489623</v>
      </c>
      <c r="P28" s="626">
        <v>0.7806110951267874</v>
      </c>
      <c r="Q28" s="627">
        <v>0.7000495121561077</v>
      </c>
      <c r="R28" s="650">
        <v>0.8090331919035393</v>
      </c>
      <c r="S28" s="650">
        <v>0.7463094933326502</v>
      </c>
      <c r="T28" s="650">
        <v>0.7171057088108876</v>
      </c>
      <c r="U28" s="565">
        <v>116.836117</v>
      </c>
      <c r="V28" s="627">
        <v>0.896796774381493</v>
      </c>
      <c r="W28" s="627">
        <v>1.155679959567101</v>
      </c>
      <c r="X28" s="627">
        <v>0.9224707969974517</v>
      </c>
      <c r="Y28" s="627">
        <v>0.9608690700270301</v>
      </c>
      <c r="Z28" s="627">
        <v>0.9186465748279108</v>
      </c>
      <c r="AA28" s="627"/>
      <c r="AB28" s="630">
        <v>-0.020990028981348385</v>
      </c>
    </row>
    <row r="29" spans="1:28" ht="9" customHeight="1">
      <c r="A29" s="625"/>
      <c r="B29" s="626"/>
      <c r="C29" s="650"/>
      <c r="D29" s="650"/>
      <c r="G29" s="651"/>
      <c r="H29" s="627"/>
      <c r="I29" s="627"/>
      <c r="J29" s="627"/>
      <c r="K29" s="627"/>
      <c r="L29" s="627"/>
      <c r="M29" s="627"/>
      <c r="N29" s="630"/>
      <c r="P29" s="626"/>
      <c r="Q29" s="627"/>
      <c r="R29" s="650"/>
      <c r="S29" s="650"/>
      <c r="T29" s="650"/>
      <c r="U29" s="565"/>
      <c r="V29" s="627"/>
      <c r="W29" s="627"/>
      <c r="X29" s="627"/>
      <c r="Y29" s="627"/>
      <c r="Z29" s="627"/>
      <c r="AA29" s="627"/>
      <c r="AB29" s="630"/>
    </row>
    <row r="30" spans="1:28" ht="12.75">
      <c r="A30" s="625" t="s">
        <v>21</v>
      </c>
      <c r="B30" s="626">
        <v>0.953827921863704</v>
      </c>
      <c r="C30" s="650">
        <v>0.9418118228053608</v>
      </c>
      <c r="D30" s="650">
        <v>0.8737007025908406</v>
      </c>
      <c r="E30" s="627">
        <v>0.7852396723500091</v>
      </c>
      <c r="F30" s="627">
        <v>0.8742797394014739</v>
      </c>
      <c r="G30" s="651">
        <v>152.30254200000002</v>
      </c>
      <c r="H30" s="627">
        <v>0.9874022359978049</v>
      </c>
      <c r="I30" s="627">
        <v>0.927680754726949</v>
      </c>
      <c r="J30" s="627">
        <v>0.8987513344346498</v>
      </c>
      <c r="K30" s="627">
        <v>1.113392216652773</v>
      </c>
      <c r="L30" s="627">
        <v>0.9166011178339177</v>
      </c>
      <c r="M30" s="627"/>
      <c r="N30" s="630">
        <v>-0.021535450114369303</v>
      </c>
      <c r="P30" s="626">
        <v>0.9360704548408898</v>
      </c>
      <c r="Q30" s="627">
        <v>1.0336406832776541</v>
      </c>
      <c r="R30" s="650">
        <v>0.9594052739411979</v>
      </c>
      <c r="S30" s="650">
        <v>0.7128307484002664</v>
      </c>
      <c r="T30" s="650">
        <v>0.8623284792272455</v>
      </c>
      <c r="U30" s="565">
        <v>103.89707</v>
      </c>
      <c r="V30" s="627">
        <v>1.1042338511296663</v>
      </c>
      <c r="W30" s="627">
        <v>0.9281806429086583</v>
      </c>
      <c r="X30" s="627">
        <v>0.7429923180138323</v>
      </c>
      <c r="Y30" s="627">
        <v>1.2097240209719933</v>
      </c>
      <c r="Z30" s="627">
        <v>0.92122176783565</v>
      </c>
      <c r="AA30" s="627"/>
      <c r="AB30" s="630">
        <v>-0.02030464742107929</v>
      </c>
    </row>
    <row r="31" spans="1:28" ht="9" customHeight="1">
      <c r="A31" s="625"/>
      <c r="B31" s="626"/>
      <c r="C31" s="650"/>
      <c r="D31" s="650"/>
      <c r="E31" s="627"/>
      <c r="F31" s="627"/>
      <c r="G31" s="651"/>
      <c r="H31" s="627"/>
      <c r="I31" s="627"/>
      <c r="J31" s="627"/>
      <c r="K31" s="627"/>
      <c r="L31" s="627"/>
      <c r="M31" s="627"/>
      <c r="N31" s="630"/>
      <c r="P31" s="626"/>
      <c r="Q31" s="627"/>
      <c r="R31" s="650"/>
      <c r="S31" s="650"/>
      <c r="T31" s="650"/>
      <c r="U31" s="565"/>
      <c r="V31" s="627"/>
      <c r="W31" s="627"/>
      <c r="X31" s="627"/>
      <c r="Y31" s="627"/>
      <c r="Z31" s="627"/>
      <c r="AA31" s="627"/>
      <c r="AB31" s="630"/>
    </row>
    <row r="32" spans="1:28" ht="12.75">
      <c r="A32" s="625" t="s">
        <v>22</v>
      </c>
      <c r="B32" s="626">
        <v>0.8794185190125637</v>
      </c>
      <c r="C32" s="650">
        <v>0.787753189139502</v>
      </c>
      <c r="D32" s="650">
        <v>0.8816399330855763</v>
      </c>
      <c r="E32" s="627">
        <v>0.8436529496207011</v>
      </c>
      <c r="F32" s="627">
        <v>0.8481406224189848</v>
      </c>
      <c r="G32" s="651">
        <v>54.042139999999996</v>
      </c>
      <c r="H32" s="627">
        <v>0.895765977300562</v>
      </c>
      <c r="I32" s="627">
        <v>1.1191829436433396</v>
      </c>
      <c r="J32" s="627">
        <v>0.9569132680595266</v>
      </c>
      <c r="K32" s="627">
        <v>1.0053193351606264</v>
      </c>
      <c r="L32" s="627">
        <v>0.9644334342325442</v>
      </c>
      <c r="M32" s="627"/>
      <c r="N32" s="630">
        <v>-0.009012755633584502</v>
      </c>
      <c r="P32" s="626">
        <v>1.0321145120224788</v>
      </c>
      <c r="Q32" s="627">
        <v>0.8419460958706297</v>
      </c>
      <c r="R32" s="650">
        <v>0.8006356835120079</v>
      </c>
      <c r="S32" s="650">
        <v>0.8033920314875131</v>
      </c>
      <c r="T32" s="650">
        <v>0.8073804953012113</v>
      </c>
      <c r="U32" s="565">
        <v>38.274698</v>
      </c>
      <c r="V32" s="627">
        <v>0.8157487236767897</v>
      </c>
      <c r="W32" s="627">
        <v>0.9509346114184376</v>
      </c>
      <c r="X32" s="627">
        <v>1.0034426993853365</v>
      </c>
      <c r="Y32" s="627">
        <v>1.0049645299646714</v>
      </c>
      <c r="Z32" s="627">
        <v>0.7822586407772814</v>
      </c>
      <c r="AA32" s="627"/>
      <c r="AB32" s="630">
        <v>-0.05954592572122874</v>
      </c>
    </row>
    <row r="33" spans="1:28" ht="9" customHeight="1">
      <c r="A33" s="625"/>
      <c r="B33" s="626"/>
      <c r="C33" s="650"/>
      <c r="D33" s="650"/>
      <c r="G33" s="651"/>
      <c r="H33" s="627"/>
      <c r="I33" s="627"/>
      <c r="J33" s="627"/>
      <c r="K33" s="627"/>
      <c r="L33" s="627"/>
      <c r="M33" s="627"/>
      <c r="N33" s="630"/>
      <c r="P33" s="626"/>
      <c r="Q33" s="627"/>
      <c r="R33" s="650"/>
      <c r="S33" s="650"/>
      <c r="T33" s="650"/>
      <c r="U33" s="565"/>
      <c r="V33" s="627"/>
      <c r="W33" s="627"/>
      <c r="X33" s="627"/>
      <c r="Y33" s="627"/>
      <c r="Z33" s="627"/>
      <c r="AA33" s="627"/>
      <c r="AB33" s="630"/>
    </row>
    <row r="34" spans="1:28" ht="12.75">
      <c r="A34" s="631" t="s">
        <v>96</v>
      </c>
      <c r="B34" s="632">
        <v>0.7781840527366342</v>
      </c>
      <c r="C34" s="652">
        <v>0.5689116223899624</v>
      </c>
      <c r="D34" s="652">
        <v>0.9070119032661419</v>
      </c>
      <c r="E34" s="633">
        <v>0.5983213116637487</v>
      </c>
      <c r="F34" s="633">
        <v>0.7204623967558532</v>
      </c>
      <c r="G34" s="653">
        <v>9.317615</v>
      </c>
      <c r="H34" s="633">
        <v>0.7310759201364704</v>
      </c>
      <c r="I34" s="633">
        <v>1.594293151290953</v>
      </c>
      <c r="J34" s="633">
        <v>0.6596620281489128</v>
      </c>
      <c r="K34" s="633">
        <v>1.2041396198181</v>
      </c>
      <c r="L34" s="633">
        <v>0.9258251877845715</v>
      </c>
      <c r="M34" s="633"/>
      <c r="N34" s="635">
        <v>-0.019083029939932272</v>
      </c>
      <c r="P34" s="632">
        <v>0.8260028096951564</v>
      </c>
      <c r="Q34" s="633">
        <v>0.7595206462087211</v>
      </c>
      <c r="R34" s="652">
        <v>0.8841944361377168</v>
      </c>
      <c r="S34" s="652">
        <v>0.917804726790911</v>
      </c>
      <c r="T34" s="652">
        <v>0.7443284693863311</v>
      </c>
      <c r="U34" s="654">
        <v>6.91469</v>
      </c>
      <c r="V34" s="633">
        <v>0.9195133930464823</v>
      </c>
      <c r="W34" s="633">
        <v>1.164147993278822</v>
      </c>
      <c r="X34" s="633">
        <v>1.0380123299576602</v>
      </c>
      <c r="Y34" s="633">
        <v>0.8109878361477427</v>
      </c>
      <c r="Z34" s="633">
        <v>0.9011209897228221</v>
      </c>
      <c r="AA34" s="633"/>
      <c r="AB34" s="635">
        <v>-0.025693103968999376</v>
      </c>
    </row>
    <row r="35" spans="1:28" ht="4.5" customHeight="1">
      <c r="A35" s="625"/>
      <c r="B35" s="626"/>
      <c r="C35" s="650"/>
      <c r="D35" s="650"/>
      <c r="E35" s="627"/>
      <c r="F35" s="627"/>
      <c r="G35" s="650"/>
      <c r="H35" s="627"/>
      <c r="I35" s="627"/>
      <c r="J35" s="627"/>
      <c r="K35" s="627"/>
      <c r="L35" s="627"/>
      <c r="M35" s="627"/>
      <c r="N35" s="630"/>
      <c r="P35" s="626"/>
      <c r="Q35" s="627"/>
      <c r="R35" s="650"/>
      <c r="S35" s="650"/>
      <c r="T35" s="650"/>
      <c r="U35" s="565"/>
      <c r="V35" s="627"/>
      <c r="W35" s="627"/>
      <c r="X35" s="627"/>
      <c r="Y35" s="627"/>
      <c r="Z35" s="627"/>
      <c r="AA35" s="627"/>
      <c r="AB35" s="630"/>
    </row>
    <row r="36" spans="1:28" ht="13.5" thickBot="1">
      <c r="A36" s="637" t="s">
        <v>84</v>
      </c>
      <c r="B36" s="642">
        <v>0.795180589447623</v>
      </c>
      <c r="C36" s="655">
        <v>0.7791211721597372</v>
      </c>
      <c r="D36" s="655">
        <v>0.7815065462747038</v>
      </c>
      <c r="E36" s="639">
        <v>0.7388322761718232</v>
      </c>
      <c r="F36" s="639">
        <v>0.750923218145943</v>
      </c>
      <c r="G36" s="656">
        <v>525.070003</v>
      </c>
      <c r="H36" s="639">
        <v>0.979804062748763</v>
      </c>
      <c r="I36" s="639">
        <v>1.003061621478408</v>
      </c>
      <c r="J36" s="639">
        <v>0.9453948654604355</v>
      </c>
      <c r="K36" s="639">
        <v>1.0163649347274968</v>
      </c>
      <c r="L36" s="639">
        <v>0.9443429934168492</v>
      </c>
      <c r="M36" s="639"/>
      <c r="N36" s="641">
        <v>-0.014214466385977564</v>
      </c>
      <c r="P36" s="638">
        <v>0.8206200169024903</v>
      </c>
      <c r="Q36" s="643">
        <v>0.8105675515007282</v>
      </c>
      <c r="R36" s="655">
        <v>0.7894753625778004</v>
      </c>
      <c r="S36" s="655">
        <v>0.7074059639850683</v>
      </c>
      <c r="T36" s="655">
        <v>0.7421978559862198</v>
      </c>
      <c r="U36" s="656">
        <v>357.736194</v>
      </c>
      <c r="V36" s="639">
        <v>0.9877501581795359</v>
      </c>
      <c r="W36" s="639">
        <v>0.973978493360761</v>
      </c>
      <c r="X36" s="639">
        <v>0.8960456494490739</v>
      </c>
      <c r="Y36" s="639">
        <v>1.0491823560620785</v>
      </c>
      <c r="Z36" s="639">
        <v>0.9044354764678023</v>
      </c>
      <c r="AA36" s="639"/>
      <c r="AB36" s="641">
        <v>-0.02479841763039936</v>
      </c>
    </row>
    <row r="37" ht="13.5" thickTop="1"/>
    <row r="38" spans="5:24" ht="15.75">
      <c r="E38" s="732" t="s">
        <v>139</v>
      </c>
      <c r="F38" s="732"/>
      <c r="G38" s="732"/>
      <c r="H38" s="732"/>
      <c r="I38" s="732"/>
      <c r="J38" s="732"/>
      <c r="K38" s="732"/>
      <c r="L38" s="732"/>
      <c r="M38" s="732"/>
      <c r="N38" s="732"/>
      <c r="O38" s="732"/>
      <c r="P38" s="732"/>
      <c r="Q38" s="732"/>
      <c r="R38" s="732"/>
      <c r="S38" s="732"/>
      <c r="T38" s="732"/>
      <c r="U38" s="732"/>
      <c r="V38" s="732"/>
      <c r="W38" s="732"/>
      <c r="X38" s="732"/>
    </row>
    <row r="39" spans="1:28" ht="18" customHeight="1">
      <c r="A39" s="616"/>
      <c r="B39" s="729" t="s">
        <v>268</v>
      </c>
      <c r="C39" s="729"/>
      <c r="D39" s="729"/>
      <c r="E39" s="729"/>
      <c r="F39" s="729"/>
      <c r="G39" s="729"/>
      <c r="H39" s="729"/>
      <c r="I39" s="729"/>
      <c r="J39" s="729"/>
      <c r="K39" s="729"/>
      <c r="L39" s="729"/>
      <c r="M39" s="729"/>
      <c r="N39" s="729"/>
      <c r="O39" s="616"/>
      <c r="P39" s="729" t="s">
        <v>269</v>
      </c>
      <c r="Q39" s="729"/>
      <c r="R39" s="729"/>
      <c r="S39" s="729"/>
      <c r="T39" s="729"/>
      <c r="U39" s="729"/>
      <c r="V39" s="729"/>
      <c r="W39" s="729"/>
      <c r="X39" s="729"/>
      <c r="Y39" s="729"/>
      <c r="Z39" s="729"/>
      <c r="AA39" s="729"/>
      <c r="AB39" s="729"/>
    </row>
    <row r="40" spans="1:28" ht="27">
      <c r="A40" s="617"/>
      <c r="B40" s="730" t="s">
        <v>81</v>
      </c>
      <c r="C40" s="726"/>
      <c r="D40" s="726"/>
      <c r="E40" s="726"/>
      <c r="F40" s="726"/>
      <c r="G40" s="618" t="s">
        <v>128</v>
      </c>
      <c r="H40" s="726" t="s">
        <v>143</v>
      </c>
      <c r="I40" s="726"/>
      <c r="J40" s="726"/>
      <c r="K40" s="726"/>
      <c r="L40" s="726"/>
      <c r="M40" s="618"/>
      <c r="N40" s="619" t="s">
        <v>265</v>
      </c>
      <c r="P40" s="730" t="s">
        <v>81</v>
      </c>
      <c r="Q40" s="726"/>
      <c r="R40" s="726"/>
      <c r="S40" s="726"/>
      <c r="T40" s="726"/>
      <c r="U40" s="618" t="s">
        <v>128</v>
      </c>
      <c r="V40" s="726" t="s">
        <v>143</v>
      </c>
      <c r="W40" s="726"/>
      <c r="X40" s="726"/>
      <c r="Y40" s="726"/>
      <c r="Z40" s="726"/>
      <c r="AA40" s="618"/>
      <c r="AB40" s="619" t="s">
        <v>265</v>
      </c>
    </row>
    <row r="41" spans="1:28" ht="12.75">
      <c r="A41" s="609" t="s">
        <v>11</v>
      </c>
      <c r="B41" s="620">
        <v>2003</v>
      </c>
      <c r="C41" s="621">
        <v>2004</v>
      </c>
      <c r="D41" s="621">
        <v>2005</v>
      </c>
      <c r="E41" s="621">
        <v>2006</v>
      </c>
      <c r="F41" s="621">
        <v>2007</v>
      </c>
      <c r="G41" s="621">
        <v>2007</v>
      </c>
      <c r="H41" s="622" t="s">
        <v>89</v>
      </c>
      <c r="I41" s="623" t="s">
        <v>90</v>
      </c>
      <c r="J41" s="623" t="s">
        <v>91</v>
      </c>
      <c r="K41" s="623" t="s">
        <v>92</v>
      </c>
      <c r="L41" s="623" t="s">
        <v>93</v>
      </c>
      <c r="M41" s="623"/>
      <c r="N41" s="624" t="s">
        <v>93</v>
      </c>
      <c r="P41" s="620">
        <v>2003</v>
      </c>
      <c r="Q41" s="621">
        <v>2004</v>
      </c>
      <c r="R41" s="621">
        <v>2005</v>
      </c>
      <c r="S41" s="621">
        <v>2006</v>
      </c>
      <c r="T41" s="621">
        <v>2007</v>
      </c>
      <c r="U41" s="621">
        <v>2007</v>
      </c>
      <c r="V41" s="622" t="s">
        <v>89</v>
      </c>
      <c r="W41" s="623" t="s">
        <v>90</v>
      </c>
      <c r="X41" s="623" t="s">
        <v>91</v>
      </c>
      <c r="Y41" s="623" t="s">
        <v>92</v>
      </c>
      <c r="Z41" s="623" t="s">
        <v>93</v>
      </c>
      <c r="AA41" s="623"/>
      <c r="AB41" s="624" t="s">
        <v>93</v>
      </c>
    </row>
    <row r="42" spans="1:28" s="629" customFormat="1" ht="12.75">
      <c r="A42" s="625" t="s">
        <v>95</v>
      </c>
      <c r="B42" s="626">
        <v>0.9804104230526711</v>
      </c>
      <c r="C42" s="650">
        <v>0.9357317874027036</v>
      </c>
      <c r="D42" s="650">
        <v>0.8850770853864443</v>
      </c>
      <c r="E42" s="627">
        <v>0.9453420360221709</v>
      </c>
      <c r="F42" s="627">
        <v>0.9074412758858699</v>
      </c>
      <c r="G42" s="571">
        <v>1967</v>
      </c>
      <c r="H42" s="564">
        <f>+C42/B42</f>
        <v>0.9544286407004393</v>
      </c>
      <c r="I42" s="564">
        <f>+D42/C42</f>
        <v>0.9458662164754915</v>
      </c>
      <c r="J42" s="564">
        <f>+E42/D42</f>
        <v>1.0680900586296544</v>
      </c>
      <c r="K42" s="564">
        <f>+F42/E42</f>
        <v>0.9599078865721653</v>
      </c>
      <c r="L42" s="564">
        <f>+B42</f>
        <v>0.9804104230526711</v>
      </c>
      <c r="M42" s="564"/>
      <c r="N42" s="628">
        <v>-0.019149873353018876</v>
      </c>
      <c r="P42" s="626">
        <v>0.9832870329607521</v>
      </c>
      <c r="Q42" s="627">
        <v>0.928965902479886</v>
      </c>
      <c r="R42" s="627">
        <v>0.8705343685929198</v>
      </c>
      <c r="S42" s="627">
        <v>0.9228115788413437</v>
      </c>
      <c r="T42" s="627">
        <v>0.9087388438045172</v>
      </c>
      <c r="U42" s="571">
        <v>1585</v>
      </c>
      <c r="V42" s="564">
        <v>0.9447555712015225</v>
      </c>
      <c r="W42" s="564">
        <v>0.9371004536000923</v>
      </c>
      <c r="X42" s="564">
        <v>1.0600518625507247</v>
      </c>
      <c r="Y42" s="564">
        <v>0.9847501533796365</v>
      </c>
      <c r="Z42" s="564">
        <v>0.9241847124417334</v>
      </c>
      <c r="AA42" s="564"/>
      <c r="AB42" s="628">
        <v>-0.019517842166750232</v>
      </c>
    </row>
    <row r="43" spans="1:28" s="629" customFormat="1" ht="9" customHeight="1">
      <c r="A43" s="625"/>
      <c r="B43" s="626"/>
      <c r="C43" s="650"/>
      <c r="D43" s="650"/>
      <c r="E43" s="627"/>
      <c r="F43" s="627"/>
      <c r="G43" s="571"/>
      <c r="H43" s="627"/>
      <c r="I43" s="627"/>
      <c r="J43" s="627"/>
      <c r="K43" s="627"/>
      <c r="L43" s="627"/>
      <c r="M43" s="627"/>
      <c r="N43" s="628"/>
      <c r="P43" s="657"/>
      <c r="U43" s="572"/>
      <c r="V43" s="627"/>
      <c r="W43" s="627"/>
      <c r="X43" s="627"/>
      <c r="Y43" s="627"/>
      <c r="Z43" s="627"/>
      <c r="AA43" s="627"/>
      <c r="AB43" s="630"/>
    </row>
    <row r="44" spans="1:28" s="629" customFormat="1" ht="12.75">
      <c r="A44" s="625" t="s">
        <v>20</v>
      </c>
      <c r="B44" s="626">
        <v>0.9967458012083124</v>
      </c>
      <c r="C44" s="650">
        <v>0.9942846449182373</v>
      </c>
      <c r="D44" s="650">
        <v>0.9372499475562669</v>
      </c>
      <c r="E44" s="627">
        <v>0.9669648871010422</v>
      </c>
      <c r="F44" s="627">
        <v>0.9810504947415866</v>
      </c>
      <c r="G44" s="571">
        <v>2972</v>
      </c>
      <c r="H44" s="627">
        <f>+C44/B44</f>
        <v>0.997530808469831</v>
      </c>
      <c r="I44" s="627">
        <f>+D44/C44</f>
        <v>0.942637455326829</v>
      </c>
      <c r="J44" s="627">
        <f>+E44/D44</f>
        <v>1.0317043917924482</v>
      </c>
      <c r="K44" s="627">
        <f>+F44/E44</f>
        <v>1.014566824326758</v>
      </c>
      <c r="L44" s="627">
        <f>+B44</f>
        <v>0.9967458012083124</v>
      </c>
      <c r="M44" s="627"/>
      <c r="N44" s="630">
        <v>-0.003960098747594176</v>
      </c>
      <c r="P44" s="626">
        <v>1.0088099992017547</v>
      </c>
      <c r="Q44" s="627">
        <v>1.0092143569481729</v>
      </c>
      <c r="R44" s="627">
        <v>0.9431475299896522</v>
      </c>
      <c r="S44" s="627">
        <v>0.9667671911914436</v>
      </c>
      <c r="T44" s="627">
        <v>0.9709610322163517</v>
      </c>
      <c r="U44" s="572">
        <v>2364</v>
      </c>
      <c r="V44" s="627">
        <v>1.000400826465577</v>
      </c>
      <c r="W44" s="627">
        <v>0.9345363782196843</v>
      </c>
      <c r="X44" s="627">
        <v>1.0250434427814792</v>
      </c>
      <c r="Y44" s="627">
        <v>1.0043380051196589</v>
      </c>
      <c r="Z44" s="627">
        <v>0.9624815703498638</v>
      </c>
      <c r="AA44" s="627"/>
      <c r="AB44" s="630">
        <v>-0.00951453778814304</v>
      </c>
    </row>
    <row r="45" spans="1:28" s="629" customFormat="1" ht="9" customHeight="1">
      <c r="A45" s="625"/>
      <c r="B45" s="626"/>
      <c r="C45" s="650"/>
      <c r="D45" s="650"/>
      <c r="E45" s="627"/>
      <c r="F45" s="627"/>
      <c r="G45" s="571"/>
      <c r="H45" s="627"/>
      <c r="I45" s="627"/>
      <c r="J45" s="627"/>
      <c r="K45" s="627"/>
      <c r="L45" s="627"/>
      <c r="M45" s="627"/>
      <c r="N45" s="630"/>
      <c r="P45" s="657"/>
      <c r="U45" s="572"/>
      <c r="V45" s="627"/>
      <c r="W45" s="627"/>
      <c r="X45" s="627"/>
      <c r="Y45" s="627"/>
      <c r="Z45" s="627"/>
      <c r="AA45" s="627"/>
      <c r="AB45" s="630"/>
    </row>
    <row r="46" spans="1:28" s="629" customFormat="1" ht="12.75">
      <c r="A46" s="625" t="s">
        <v>21</v>
      </c>
      <c r="B46" s="626">
        <v>1.0593123617594462</v>
      </c>
      <c r="C46" s="650">
        <v>1.0619090531837323</v>
      </c>
      <c r="D46" s="650">
        <v>1.0315644963423827</v>
      </c>
      <c r="E46" s="627">
        <v>1.0036025108342403</v>
      </c>
      <c r="F46" s="627">
        <v>1.0057390639440478</v>
      </c>
      <c r="G46" s="571">
        <v>3498</v>
      </c>
      <c r="H46" s="627">
        <f>+C46/B46</f>
        <v>1.00245129908611</v>
      </c>
      <c r="I46" s="627">
        <f>+D46/C46</f>
        <v>0.9714245238324573</v>
      </c>
      <c r="J46" s="627">
        <f>+E46/D46</f>
        <v>0.9728936139162533</v>
      </c>
      <c r="K46" s="627">
        <f>+F46/E46</f>
        <v>1.0021288837829145</v>
      </c>
      <c r="L46" s="627">
        <f>+B46</f>
        <v>1.0593123617594462</v>
      </c>
      <c r="M46" s="627"/>
      <c r="N46" s="630">
        <v>-0.01289052720181505</v>
      </c>
      <c r="P46" s="626">
        <v>1.0719820491264904</v>
      </c>
      <c r="Q46" s="627">
        <v>1.080249318046181</v>
      </c>
      <c r="R46" s="627">
        <v>1.0558117182381794</v>
      </c>
      <c r="S46" s="627">
        <v>1.019398087611256</v>
      </c>
      <c r="T46" s="627">
        <v>0.9946820290360282</v>
      </c>
      <c r="U46" s="572">
        <v>2819</v>
      </c>
      <c r="V46" s="627">
        <v>1.0077121337306236</v>
      </c>
      <c r="W46" s="627">
        <v>0.9773778151027178</v>
      </c>
      <c r="X46" s="627">
        <v>0.9655112459940408</v>
      </c>
      <c r="Y46" s="627">
        <v>0.9757542623675695</v>
      </c>
      <c r="Z46" s="627">
        <v>0.9278905648154742</v>
      </c>
      <c r="AA46" s="627"/>
      <c r="AB46" s="630">
        <v>-0.01853641737459455</v>
      </c>
    </row>
    <row r="47" spans="1:28" s="629" customFormat="1" ht="9" customHeight="1">
      <c r="A47" s="625"/>
      <c r="B47" s="626"/>
      <c r="C47" s="650"/>
      <c r="D47" s="650"/>
      <c r="E47" s="627"/>
      <c r="F47" s="627"/>
      <c r="G47" s="571"/>
      <c r="H47" s="627"/>
      <c r="I47" s="627"/>
      <c r="J47" s="627"/>
      <c r="K47" s="627"/>
      <c r="L47" s="627"/>
      <c r="M47" s="627"/>
      <c r="N47" s="630"/>
      <c r="P47" s="657"/>
      <c r="U47" s="572"/>
      <c r="V47" s="627"/>
      <c r="W47" s="627"/>
      <c r="X47" s="627"/>
      <c r="Y47" s="627"/>
      <c r="Z47" s="627"/>
      <c r="AA47" s="627"/>
      <c r="AB47" s="630"/>
    </row>
    <row r="48" spans="1:28" s="629" customFormat="1" ht="12.75">
      <c r="A48" s="625" t="s">
        <v>22</v>
      </c>
      <c r="B48" s="626">
        <v>1.0161638923426415</v>
      </c>
      <c r="C48" s="650">
        <v>1.0014635479186955</v>
      </c>
      <c r="D48" s="650">
        <v>0.9592500969337153</v>
      </c>
      <c r="E48" s="627">
        <v>0.961433281795309</v>
      </c>
      <c r="F48" s="627">
        <v>0.9828260051199513</v>
      </c>
      <c r="G48" s="571">
        <v>2508</v>
      </c>
      <c r="H48" s="627">
        <f>+C48/B48</f>
        <v>0.9855334906753515</v>
      </c>
      <c r="I48" s="627">
        <f>+D48/C48</f>
        <v>0.9578482401354389</v>
      </c>
      <c r="J48" s="627">
        <f>+E48/D48</f>
        <v>1.0022759287370127</v>
      </c>
      <c r="K48" s="627">
        <f>+F48/E48</f>
        <v>1.0222508662116367</v>
      </c>
      <c r="L48" s="627">
        <f>+B48</f>
        <v>1.0161638923426415</v>
      </c>
      <c r="M48" s="627"/>
      <c r="N48" s="630">
        <v>-0.008304779684182417</v>
      </c>
      <c r="P48" s="626">
        <v>1.066569102964809</v>
      </c>
      <c r="Q48" s="627">
        <v>1.0617364930379094</v>
      </c>
      <c r="R48" s="627">
        <v>1.018006904377887</v>
      </c>
      <c r="S48" s="627">
        <v>0.9952483570013382</v>
      </c>
      <c r="T48" s="627">
        <v>0.9652908297337874</v>
      </c>
      <c r="U48" s="572">
        <v>2029</v>
      </c>
      <c r="V48" s="627">
        <v>0.99546901376248</v>
      </c>
      <c r="W48" s="627">
        <v>0.9588131434242182</v>
      </c>
      <c r="X48" s="627">
        <v>0.9776440147127932</v>
      </c>
      <c r="Y48" s="627">
        <v>0.9698994456440893</v>
      </c>
      <c r="Z48" s="627">
        <v>0.9050429335056766</v>
      </c>
      <c r="AA48" s="627"/>
      <c r="AB48" s="630">
        <v>-0.02463471222110636</v>
      </c>
    </row>
    <row r="49" spans="1:28" s="629" customFormat="1" ht="9" customHeight="1">
      <c r="A49" s="625"/>
      <c r="B49" s="626"/>
      <c r="C49" s="650"/>
      <c r="D49" s="650"/>
      <c r="E49" s="627"/>
      <c r="F49" s="627"/>
      <c r="G49" s="571"/>
      <c r="H49" s="627"/>
      <c r="I49" s="627"/>
      <c r="J49" s="627"/>
      <c r="K49" s="627"/>
      <c r="L49" s="627"/>
      <c r="M49" s="627"/>
      <c r="N49" s="630"/>
      <c r="P49" s="626"/>
      <c r="Q49" s="627"/>
      <c r="R49" s="627"/>
      <c r="S49" s="627"/>
      <c r="T49" s="627"/>
      <c r="U49" s="572"/>
      <c r="V49" s="627"/>
      <c r="W49" s="627"/>
      <c r="X49" s="627"/>
      <c r="Y49" s="627"/>
      <c r="Z49" s="627"/>
      <c r="AA49" s="627"/>
      <c r="AB49" s="630"/>
    </row>
    <row r="50" spans="1:28" s="629" customFormat="1" ht="12.75">
      <c r="A50" s="631" t="s">
        <v>96</v>
      </c>
      <c r="B50" s="632">
        <v>0.9503843004765812</v>
      </c>
      <c r="C50" s="652">
        <v>0.9489825323300147</v>
      </c>
      <c r="D50" s="652">
        <v>0.8615298153860242</v>
      </c>
      <c r="E50" s="633">
        <v>0.9845729740688426</v>
      </c>
      <c r="F50" s="633">
        <v>1.0297584626410865</v>
      </c>
      <c r="G50" s="634">
        <v>377</v>
      </c>
      <c r="H50" s="633">
        <f>+C50/B50</f>
        <v>0.9985250512388899</v>
      </c>
      <c r="I50" s="633">
        <f>+D50/C50</f>
        <v>0.9078458096280552</v>
      </c>
      <c r="J50" s="633">
        <f>+E50/D50</f>
        <v>1.142819385336869</v>
      </c>
      <c r="K50" s="633">
        <f>+F50/E50</f>
        <v>1.0458934886111189</v>
      </c>
      <c r="L50" s="633">
        <f>+B50</f>
        <v>0.9503843004765812</v>
      </c>
      <c r="M50" s="633"/>
      <c r="N50" s="635">
        <v>0.020255698266545608</v>
      </c>
      <c r="P50" s="632">
        <v>1.0447066317034592</v>
      </c>
      <c r="Q50" s="633">
        <v>1.0640188525444731</v>
      </c>
      <c r="R50" s="633">
        <v>1.014054090344527</v>
      </c>
      <c r="S50" s="633">
        <v>1.0239330500908357</v>
      </c>
      <c r="T50" s="633">
        <v>1.0010196291887385</v>
      </c>
      <c r="U50" s="636">
        <v>298</v>
      </c>
      <c r="V50" s="633">
        <v>1.0184857837166432</v>
      </c>
      <c r="W50" s="633">
        <v>0.9530414690675246</v>
      </c>
      <c r="X50" s="633">
        <v>1.0097420441773015</v>
      </c>
      <c r="Y50" s="633">
        <v>0.977622149319171</v>
      </c>
      <c r="Z50" s="633">
        <v>0.9581825163266284</v>
      </c>
      <c r="AA50" s="633"/>
      <c r="AB50" s="635">
        <v>-0.01062242952221304</v>
      </c>
    </row>
    <row r="51" spans="1:28" s="629" customFormat="1" ht="4.5" customHeight="1">
      <c r="A51" s="625"/>
      <c r="B51" s="626"/>
      <c r="C51" s="650"/>
      <c r="D51" s="650"/>
      <c r="E51" s="627"/>
      <c r="F51" s="627"/>
      <c r="G51" s="627"/>
      <c r="H51" s="627"/>
      <c r="I51" s="627"/>
      <c r="J51" s="627"/>
      <c r="K51" s="627"/>
      <c r="L51" s="627"/>
      <c r="M51" s="627"/>
      <c r="N51" s="630"/>
      <c r="P51" s="626"/>
      <c r="Q51" s="627"/>
      <c r="R51" s="650"/>
      <c r="S51" s="650"/>
      <c r="T51" s="650"/>
      <c r="U51" s="572"/>
      <c r="V51" s="627"/>
      <c r="W51" s="627"/>
      <c r="X51" s="627"/>
      <c r="Y51" s="627"/>
      <c r="Z51" s="627"/>
      <c r="AA51" s="627"/>
      <c r="AB51" s="630"/>
    </row>
    <row r="52" spans="1:28" ht="13.5" thickBot="1">
      <c r="A52" s="637" t="s">
        <v>84</v>
      </c>
      <c r="B52" s="642">
        <v>1.014583175908283</v>
      </c>
      <c r="C52" s="655">
        <v>1.0036598202856186</v>
      </c>
      <c r="D52" s="655">
        <v>0.9577626289671843</v>
      </c>
      <c r="E52" s="639">
        <v>0.9737228044267345</v>
      </c>
      <c r="F52" s="639">
        <v>0.9766230892849508</v>
      </c>
      <c r="G52" s="640">
        <v>11322</v>
      </c>
      <c r="H52" s="639">
        <f>+C52/B52</f>
        <v>0.9892336519252002</v>
      </c>
      <c r="I52" s="639">
        <f>+D52/C52</f>
        <v>0.9542701716350735</v>
      </c>
      <c r="J52" s="639">
        <f>+E52/D52</f>
        <v>1.0166640198488022</v>
      </c>
      <c r="K52" s="639">
        <f>+F52/E52</f>
        <v>1.0029785528746282</v>
      </c>
      <c r="L52" s="639">
        <f>+B52</f>
        <v>1.014583175908283</v>
      </c>
      <c r="M52" s="639"/>
      <c r="N52" s="641">
        <v>-0.009487791457182593</v>
      </c>
      <c r="P52" s="642">
        <v>1.0385494746048018</v>
      </c>
      <c r="Q52" s="643">
        <v>1.0302601439616195</v>
      </c>
      <c r="R52" s="643">
        <v>0.9818444045715328</v>
      </c>
      <c r="S52" s="643">
        <v>0.9823169143190783</v>
      </c>
      <c r="T52" s="643">
        <v>0.9662578057163419</v>
      </c>
      <c r="U52" s="644">
        <v>9095</v>
      </c>
      <c r="V52" s="639">
        <v>0.9920183574823561</v>
      </c>
      <c r="W52" s="639">
        <v>0.9530062968330353</v>
      </c>
      <c r="X52" s="639">
        <v>1.0004812470747355</v>
      </c>
      <c r="Y52" s="639">
        <v>0.9836518048619083</v>
      </c>
      <c r="Z52" s="639">
        <v>0.9303916947086521</v>
      </c>
      <c r="AA52" s="639"/>
      <c r="AB52" s="641">
        <v>-0.017875700857490462</v>
      </c>
    </row>
    <row r="53" spans="1:18" ht="13.5" thickTop="1">
      <c r="A53" s="625"/>
      <c r="B53" s="645"/>
      <c r="C53" s="645"/>
      <c r="D53" s="646"/>
      <c r="E53" s="646"/>
      <c r="F53" s="646"/>
      <c r="G53" s="646"/>
      <c r="H53" s="646"/>
      <c r="I53" s="646"/>
      <c r="J53" s="646"/>
      <c r="K53" s="646"/>
      <c r="L53" s="646"/>
      <c r="M53" s="646"/>
      <c r="N53" s="646"/>
      <c r="P53" s="646"/>
      <c r="Q53" s="646"/>
      <c r="R53" s="646"/>
    </row>
    <row r="54" spans="1:28" ht="12.75">
      <c r="A54" s="625"/>
      <c r="B54" s="727" t="s">
        <v>259</v>
      </c>
      <c r="C54" s="727"/>
      <c r="D54" s="727"/>
      <c r="E54" s="727"/>
      <c r="F54" s="727"/>
      <c r="G54" s="727"/>
      <c r="H54" s="727"/>
      <c r="I54" s="727"/>
      <c r="J54" s="727"/>
      <c r="K54" s="727"/>
      <c r="L54" s="727"/>
      <c r="M54" s="727"/>
      <c r="N54" s="727"/>
      <c r="P54" s="728" t="s">
        <v>260</v>
      </c>
      <c r="Q54" s="728"/>
      <c r="R54" s="728"/>
      <c r="S54" s="728"/>
      <c r="T54" s="728"/>
      <c r="U54" s="728"/>
      <c r="V54" s="728"/>
      <c r="W54" s="728"/>
      <c r="X54" s="728"/>
      <c r="Y54" s="728"/>
      <c r="Z54" s="728"/>
      <c r="AA54" s="728"/>
      <c r="AB54" s="728"/>
    </row>
    <row r="55" spans="1:28" s="648" customFormat="1" ht="27">
      <c r="A55" s="647"/>
      <c r="B55" s="730" t="s">
        <v>81</v>
      </c>
      <c r="C55" s="726"/>
      <c r="D55" s="726"/>
      <c r="E55" s="726"/>
      <c r="F55" s="726"/>
      <c r="G55" s="618" t="s">
        <v>129</v>
      </c>
      <c r="H55" s="726" t="s">
        <v>143</v>
      </c>
      <c r="I55" s="726"/>
      <c r="J55" s="726"/>
      <c r="K55" s="726"/>
      <c r="L55" s="726"/>
      <c r="M55" s="618"/>
      <c r="N55" s="619" t="s">
        <v>265</v>
      </c>
      <c r="P55" s="730" t="s">
        <v>81</v>
      </c>
      <c r="Q55" s="726"/>
      <c r="R55" s="726"/>
      <c r="S55" s="726"/>
      <c r="T55" s="726"/>
      <c r="U55" s="618" t="s">
        <v>129</v>
      </c>
      <c r="V55" s="726" t="s">
        <v>143</v>
      </c>
      <c r="W55" s="726"/>
      <c r="X55" s="726"/>
      <c r="Y55" s="726"/>
      <c r="Z55" s="726"/>
      <c r="AA55" s="618"/>
      <c r="AB55" s="619" t="s">
        <v>265</v>
      </c>
    </row>
    <row r="56" spans="1:28" ht="12.75">
      <c r="A56" s="609" t="s">
        <v>11</v>
      </c>
      <c r="B56" s="620">
        <v>2003</v>
      </c>
      <c r="C56" s="621">
        <v>2004</v>
      </c>
      <c r="D56" s="621">
        <v>2005</v>
      </c>
      <c r="E56" s="621">
        <v>2006</v>
      </c>
      <c r="F56" s="621">
        <v>2007</v>
      </c>
      <c r="G56" s="621">
        <v>2007</v>
      </c>
      <c r="H56" s="622" t="s">
        <v>89</v>
      </c>
      <c r="I56" s="623" t="s">
        <v>90</v>
      </c>
      <c r="J56" s="623" t="s">
        <v>91</v>
      </c>
      <c r="K56" s="623" t="s">
        <v>92</v>
      </c>
      <c r="L56" s="623" t="s">
        <v>93</v>
      </c>
      <c r="M56" s="623"/>
      <c r="N56" s="624" t="s">
        <v>93</v>
      </c>
      <c r="O56" s="649"/>
      <c r="P56" s="620">
        <v>2003</v>
      </c>
      <c r="Q56" s="621">
        <v>2004</v>
      </c>
      <c r="R56" s="621">
        <v>2005</v>
      </c>
      <c r="S56" s="621">
        <v>2006</v>
      </c>
      <c r="T56" s="621">
        <v>2007</v>
      </c>
      <c r="U56" s="621">
        <v>2007</v>
      </c>
      <c r="V56" s="622" t="s">
        <v>89</v>
      </c>
      <c r="W56" s="623" t="s">
        <v>90</v>
      </c>
      <c r="X56" s="623" t="s">
        <v>91</v>
      </c>
      <c r="Y56" s="623" t="s">
        <v>92</v>
      </c>
      <c r="Z56" s="623" t="s">
        <v>93</v>
      </c>
      <c r="AA56" s="623"/>
      <c r="AB56" s="624" t="s">
        <v>93</v>
      </c>
    </row>
    <row r="57" spans="1:28" ht="12.75">
      <c r="A57" s="625" t="s">
        <v>95</v>
      </c>
      <c r="B57" s="626">
        <v>0.912795584932877</v>
      </c>
      <c r="C57" s="650">
        <v>0.8915832440726507</v>
      </c>
      <c r="D57" s="650">
        <v>0.850234561208215</v>
      </c>
      <c r="E57" s="627">
        <v>0.8887054097820871</v>
      </c>
      <c r="F57" s="627">
        <v>0.8377287206485574</v>
      </c>
      <c r="G57" s="651">
        <v>70.327421</v>
      </c>
      <c r="H57" s="564">
        <f>+C57/B57</f>
        <v>0.9767611267951233</v>
      </c>
      <c r="I57" s="564">
        <f>+D57/C57</f>
        <v>0.9536233064726972</v>
      </c>
      <c r="J57" s="564">
        <f>+E57/D57</f>
        <v>1.045247335651945</v>
      </c>
      <c r="K57" s="564">
        <f>+F57/E57</f>
        <v>0.9426393846910087</v>
      </c>
      <c r="L57" s="564">
        <f>+B57</f>
        <v>0.912795584932877</v>
      </c>
      <c r="M57" s="564"/>
      <c r="N57" s="628">
        <v>-0.021225900258158292</v>
      </c>
      <c r="P57" s="626">
        <v>0.9259551891122626</v>
      </c>
      <c r="Q57" s="627">
        <v>0.8820605559648114</v>
      </c>
      <c r="R57" s="650">
        <v>0.8305629225390361</v>
      </c>
      <c r="S57" s="650">
        <v>0.8458831032139495</v>
      </c>
      <c r="T57" s="650">
        <v>0.8336208907493132</v>
      </c>
      <c r="U57" s="565">
        <v>55.743774</v>
      </c>
      <c r="V57" s="564">
        <v>0.9525952943905054</v>
      </c>
      <c r="W57" s="564">
        <v>0.9416166689718404</v>
      </c>
      <c r="X57" s="564">
        <v>1.0184455388739009</v>
      </c>
      <c r="Y57" s="564">
        <v>0.9855036559803044</v>
      </c>
      <c r="Z57" s="564">
        <v>0.9002821092762894</v>
      </c>
      <c r="AA57" s="564"/>
      <c r="AB57" s="628">
        <v>-0.02591993601934761</v>
      </c>
    </row>
    <row r="58" spans="1:28" ht="9" customHeight="1">
      <c r="A58" s="625"/>
      <c r="B58" s="626"/>
      <c r="C58" s="650"/>
      <c r="D58" s="650"/>
      <c r="G58" s="651"/>
      <c r="H58" s="627"/>
      <c r="I58" s="627"/>
      <c r="J58" s="627"/>
      <c r="K58" s="627"/>
      <c r="L58" s="627"/>
      <c r="M58" s="627"/>
      <c r="N58" s="628"/>
      <c r="P58" s="626"/>
      <c r="Q58" s="627"/>
      <c r="R58" s="650"/>
      <c r="S58" s="650"/>
      <c r="T58" s="650"/>
      <c r="U58" s="565"/>
      <c r="V58" s="627"/>
      <c r="W58" s="627"/>
      <c r="X58" s="627"/>
      <c r="Y58" s="627"/>
      <c r="Z58" s="627"/>
      <c r="AA58" s="627"/>
      <c r="AB58" s="630"/>
    </row>
    <row r="59" spans="1:28" ht="12.75">
      <c r="A59" s="625" t="s">
        <v>20</v>
      </c>
      <c r="B59" s="626">
        <v>0.9215677566212394</v>
      </c>
      <c r="C59" s="650">
        <v>0.9404921313637417</v>
      </c>
      <c r="D59" s="650">
        <v>0.8875721126247824</v>
      </c>
      <c r="E59" s="627">
        <v>0.92722860158999</v>
      </c>
      <c r="F59" s="627">
        <v>0.9342924153935432</v>
      </c>
      <c r="G59" s="651">
        <v>96.889018</v>
      </c>
      <c r="H59" s="627">
        <f aca="true" t="shared" si="0" ref="H59:H65">+C59/B59</f>
        <v>1.0205349792313536</v>
      </c>
      <c r="I59" s="627">
        <f aca="true" t="shared" si="1" ref="I59:I65">+D59/C59</f>
        <v>0.9437315667253657</v>
      </c>
      <c r="J59" s="627">
        <f aca="true" t="shared" si="2" ref="J59:J65">+E59/D59</f>
        <v>1.0446797374558479</v>
      </c>
      <c r="K59" s="627">
        <f aca="true" t="shared" si="3" ref="K59:K65">+F59/E59</f>
        <v>1.0076182009392727</v>
      </c>
      <c r="L59" s="627">
        <f aca="true" t="shared" si="4" ref="L59:L65">+B59</f>
        <v>0.9215677566212394</v>
      </c>
      <c r="M59" s="627"/>
      <c r="N59" s="630">
        <v>0.0034341745078945163</v>
      </c>
      <c r="P59" s="626">
        <v>0.9330112255417655</v>
      </c>
      <c r="Q59" s="627">
        <v>0.9586917970423975</v>
      </c>
      <c r="R59" s="650">
        <v>0.8958213542313818</v>
      </c>
      <c r="S59" s="650">
        <v>0.912901022379507</v>
      </c>
      <c r="T59" s="650">
        <v>0.9119731577718161</v>
      </c>
      <c r="U59" s="565">
        <v>74.110939</v>
      </c>
      <c r="V59" s="627">
        <v>1.027524397132222</v>
      </c>
      <c r="W59" s="627">
        <v>0.9344205895940958</v>
      </c>
      <c r="X59" s="627">
        <v>1.0190659310223495</v>
      </c>
      <c r="Y59" s="627">
        <v>0.998983608753916</v>
      </c>
      <c r="Z59" s="627">
        <v>0.9774514312432492</v>
      </c>
      <c r="AA59" s="627"/>
      <c r="AB59" s="630">
        <v>-0.005685445101451525</v>
      </c>
    </row>
    <row r="60" spans="1:28" ht="9" customHeight="1">
      <c r="A60" s="625"/>
      <c r="B60" s="626"/>
      <c r="C60" s="650"/>
      <c r="D60" s="650"/>
      <c r="G60" s="651"/>
      <c r="H60" s="627"/>
      <c r="I60" s="627"/>
      <c r="J60" s="627"/>
      <c r="K60" s="627"/>
      <c r="L60" s="627"/>
      <c r="M60" s="627"/>
      <c r="N60" s="630"/>
      <c r="P60" s="626"/>
      <c r="Q60" s="627"/>
      <c r="R60" s="650"/>
      <c r="S60" s="650"/>
      <c r="T60" s="650"/>
      <c r="U60" s="565"/>
      <c r="V60" s="627"/>
      <c r="W60" s="627"/>
      <c r="X60" s="627"/>
      <c r="Y60" s="627"/>
      <c r="Z60" s="627"/>
      <c r="AA60" s="627"/>
      <c r="AB60" s="630"/>
    </row>
    <row r="61" spans="1:28" ht="12.75">
      <c r="A61" s="625" t="s">
        <v>21</v>
      </c>
      <c r="B61" s="626">
        <v>1.0107052688023572</v>
      </c>
      <c r="C61" s="650">
        <v>1.0141759811090472</v>
      </c>
      <c r="D61" s="650">
        <v>0.9697097309146775</v>
      </c>
      <c r="E61" s="627">
        <v>0.9316067927208215</v>
      </c>
      <c r="F61" s="627">
        <v>0.9325026737939</v>
      </c>
      <c r="G61" s="651">
        <v>87.198926</v>
      </c>
      <c r="H61" s="627">
        <f t="shared" si="0"/>
        <v>1.0034339509388357</v>
      </c>
      <c r="I61" s="627">
        <f t="shared" si="1"/>
        <v>0.9561552915641487</v>
      </c>
      <c r="J61" s="627">
        <f t="shared" si="2"/>
        <v>0.9607068620855073</v>
      </c>
      <c r="K61" s="627">
        <f t="shared" si="3"/>
        <v>1.0009616515037014</v>
      </c>
      <c r="L61" s="627">
        <f t="shared" si="4"/>
        <v>1.0107052688023572</v>
      </c>
      <c r="M61" s="627"/>
      <c r="N61" s="630">
        <v>-0.019931594584578605</v>
      </c>
      <c r="P61" s="626">
        <v>1.0102900597379587</v>
      </c>
      <c r="Q61" s="627">
        <v>1.0182304140095295</v>
      </c>
      <c r="R61" s="650">
        <v>0.973130410217736</v>
      </c>
      <c r="S61" s="650">
        <v>0.9280389845067594</v>
      </c>
      <c r="T61" s="650">
        <v>0.9050440371081234</v>
      </c>
      <c r="U61" s="565">
        <v>66.645688</v>
      </c>
      <c r="V61" s="627">
        <v>1.0078594797553782</v>
      </c>
      <c r="W61" s="627">
        <v>0.9557074674147645</v>
      </c>
      <c r="X61" s="627">
        <v>0.9536635324130035</v>
      </c>
      <c r="Y61" s="627">
        <v>0.9752220027579337</v>
      </c>
      <c r="Z61" s="627">
        <v>0.8958259347249883</v>
      </c>
      <c r="AA61" s="627"/>
      <c r="AB61" s="630">
        <v>-0.027127543906642515</v>
      </c>
    </row>
    <row r="62" spans="1:28" ht="9" customHeight="1">
      <c r="A62" s="625"/>
      <c r="B62" s="626"/>
      <c r="C62" s="650"/>
      <c r="D62" s="650"/>
      <c r="E62" s="627"/>
      <c r="F62" s="627"/>
      <c r="G62" s="651"/>
      <c r="H62" s="627"/>
      <c r="I62" s="627"/>
      <c r="J62" s="627"/>
      <c r="K62" s="627"/>
      <c r="L62" s="627"/>
      <c r="M62" s="627"/>
      <c r="N62" s="630"/>
      <c r="P62" s="626"/>
      <c r="Q62" s="627"/>
      <c r="R62" s="650"/>
      <c r="S62" s="650"/>
      <c r="T62" s="650"/>
      <c r="U62" s="565"/>
      <c r="V62" s="627"/>
      <c r="W62" s="627"/>
      <c r="X62" s="627"/>
      <c r="Y62" s="627"/>
      <c r="Z62" s="627"/>
      <c r="AA62" s="627"/>
      <c r="AB62" s="630"/>
    </row>
    <row r="63" spans="1:28" ht="12.75">
      <c r="A63" s="625" t="s">
        <v>22</v>
      </c>
      <c r="B63" s="626">
        <v>0.9153038093444859</v>
      </c>
      <c r="C63" s="650">
        <v>0.9259063043756234</v>
      </c>
      <c r="D63" s="650">
        <v>0.9224773609981635</v>
      </c>
      <c r="E63" s="627">
        <v>0.9223010690665605</v>
      </c>
      <c r="F63" s="627">
        <v>0.9400940839043297</v>
      </c>
      <c r="G63" s="651">
        <v>49.139392</v>
      </c>
      <c r="H63" s="627">
        <f t="shared" si="0"/>
        <v>1.0115835801434396</v>
      </c>
      <c r="I63" s="627">
        <f t="shared" si="1"/>
        <v>0.996296662673906</v>
      </c>
      <c r="J63" s="627">
        <f t="shared" si="2"/>
        <v>0.9998088929451752</v>
      </c>
      <c r="K63" s="627">
        <f t="shared" si="3"/>
        <v>1.0192919811486039</v>
      </c>
      <c r="L63" s="627">
        <f t="shared" si="4"/>
        <v>0.9153038093444859</v>
      </c>
      <c r="M63" s="627"/>
      <c r="N63" s="630">
        <v>0.006703346846877567</v>
      </c>
      <c r="P63" s="626">
        <v>0.9758533544737219</v>
      </c>
      <c r="Q63" s="627">
        <v>0.9756467078920972</v>
      </c>
      <c r="R63" s="650">
        <v>0.9589693390765958</v>
      </c>
      <c r="S63" s="650">
        <v>0.9400221328077215</v>
      </c>
      <c r="T63" s="650">
        <v>0.9036927802467106</v>
      </c>
      <c r="U63" s="565">
        <v>38.048805</v>
      </c>
      <c r="V63" s="627">
        <v>0.9997882401278032</v>
      </c>
      <c r="W63" s="627">
        <v>0.9829063443963927</v>
      </c>
      <c r="X63" s="627">
        <v>0.9802421146361984</v>
      </c>
      <c r="Y63" s="627">
        <v>0.961352662567106</v>
      </c>
      <c r="Z63" s="627">
        <v>0.9260538749022104</v>
      </c>
      <c r="AA63" s="627"/>
      <c r="AB63" s="630">
        <v>-0.019022461729593987</v>
      </c>
    </row>
    <row r="64" spans="1:28" ht="9" customHeight="1">
      <c r="A64" s="625"/>
      <c r="B64" s="626"/>
      <c r="C64" s="650"/>
      <c r="D64" s="650"/>
      <c r="G64" s="651"/>
      <c r="H64" s="627"/>
      <c r="I64" s="627"/>
      <c r="J64" s="627"/>
      <c r="K64" s="627"/>
      <c r="L64" s="627"/>
      <c r="M64" s="627"/>
      <c r="N64" s="630"/>
      <c r="P64" s="626"/>
      <c r="Q64" s="627"/>
      <c r="R64" s="650"/>
      <c r="S64" s="650"/>
      <c r="T64" s="650"/>
      <c r="U64" s="565"/>
      <c r="V64" s="627"/>
      <c r="W64" s="627"/>
      <c r="X64" s="627"/>
      <c r="Y64" s="627"/>
      <c r="Z64" s="627"/>
      <c r="AA64" s="627"/>
      <c r="AB64" s="630"/>
    </row>
    <row r="65" spans="1:28" ht="12.75">
      <c r="A65" s="631" t="s">
        <v>96</v>
      </c>
      <c r="B65" s="632">
        <v>0.8896952295332894</v>
      </c>
      <c r="C65" s="652">
        <v>0.8897369801856274</v>
      </c>
      <c r="D65" s="652">
        <v>0.7796135968977731</v>
      </c>
      <c r="E65" s="633">
        <v>1.0103340933649907</v>
      </c>
      <c r="F65" s="633">
        <v>0.9930707726117843</v>
      </c>
      <c r="G65" s="653">
        <v>7.994159</v>
      </c>
      <c r="H65" s="633">
        <f t="shared" si="0"/>
        <v>1.0000469269149166</v>
      </c>
      <c r="I65" s="633">
        <f t="shared" si="1"/>
        <v>0.8762292837767864</v>
      </c>
      <c r="J65" s="633">
        <f t="shared" si="2"/>
        <v>1.2959421146389662</v>
      </c>
      <c r="K65" s="633">
        <f t="shared" si="3"/>
        <v>0.9829132552622176</v>
      </c>
      <c r="L65" s="633">
        <f t="shared" si="4"/>
        <v>0.8896952295332894</v>
      </c>
      <c r="M65" s="633"/>
      <c r="N65" s="635">
        <v>0.027861820267330417</v>
      </c>
      <c r="P65" s="632">
        <v>0.8549616487919052</v>
      </c>
      <c r="Q65" s="633">
        <v>0.9714717771683428</v>
      </c>
      <c r="R65" s="652">
        <v>0.892928713920524</v>
      </c>
      <c r="S65" s="652">
        <v>0.9967501467264254</v>
      </c>
      <c r="T65" s="652">
        <v>0.9701081538063049</v>
      </c>
      <c r="U65" s="654">
        <v>6.241888</v>
      </c>
      <c r="V65" s="633">
        <v>1.1362752686521909</v>
      </c>
      <c r="W65" s="633">
        <v>0.919150442561743</v>
      </c>
      <c r="X65" s="633">
        <v>1.1162706845320933</v>
      </c>
      <c r="Y65" s="633">
        <v>0.9732711422139039</v>
      </c>
      <c r="Z65" s="633">
        <v>1.1346803159850576</v>
      </c>
      <c r="AA65" s="633"/>
      <c r="AB65" s="635">
        <v>0.032091925132942345</v>
      </c>
    </row>
    <row r="66" spans="1:28" ht="4.5" customHeight="1">
      <c r="A66" s="625"/>
      <c r="B66" s="626"/>
      <c r="C66" s="650"/>
      <c r="D66" s="650"/>
      <c r="E66" s="627"/>
      <c r="F66" s="627"/>
      <c r="G66" s="565"/>
      <c r="H66" s="627"/>
      <c r="I66" s="627"/>
      <c r="J66" s="627"/>
      <c r="K66" s="627"/>
      <c r="L66" s="627"/>
      <c r="M66" s="627"/>
      <c r="N66" s="630"/>
      <c r="P66" s="626"/>
      <c r="Q66" s="627"/>
      <c r="R66" s="650"/>
      <c r="S66" s="650"/>
      <c r="T66" s="650"/>
      <c r="U66" s="565"/>
      <c r="V66" s="627"/>
      <c r="W66" s="627"/>
      <c r="X66" s="627"/>
      <c r="Y66" s="627"/>
      <c r="Z66" s="627"/>
      <c r="AA66" s="627"/>
      <c r="AB66" s="630"/>
    </row>
    <row r="67" spans="1:28" ht="13.5" thickBot="1">
      <c r="A67" s="637" t="s">
        <v>84</v>
      </c>
      <c r="B67" s="642">
        <v>0.9418036103764019</v>
      </c>
      <c r="C67" s="655">
        <v>0.9454370454960876</v>
      </c>
      <c r="D67" s="655">
        <v>0.9041289846179263</v>
      </c>
      <c r="E67" s="639">
        <v>0.9222630555128479</v>
      </c>
      <c r="F67" s="639">
        <v>0.9123368853876115</v>
      </c>
      <c r="G67" s="656">
        <v>311.548916</v>
      </c>
      <c r="H67" s="639">
        <f>+C67/B67</f>
        <v>1.0038579541208528</v>
      </c>
      <c r="I67" s="639">
        <f>+D67/C67</f>
        <v>0.9563079730427887</v>
      </c>
      <c r="J67" s="639">
        <f>+E67/D67</f>
        <v>1.0200569511689583</v>
      </c>
      <c r="K67" s="639">
        <f>+F67/E67</f>
        <v>0.9892371595436871</v>
      </c>
      <c r="L67" s="639">
        <f>+B67</f>
        <v>0.9418036103764019</v>
      </c>
      <c r="M67" s="639"/>
      <c r="N67" s="641">
        <v>-0.007915371538808502</v>
      </c>
      <c r="P67" s="638">
        <v>0.957698364409806</v>
      </c>
      <c r="Q67" s="643">
        <v>0.9600335638265636</v>
      </c>
      <c r="R67" s="655">
        <v>0.9102405840201486</v>
      </c>
      <c r="S67" s="655">
        <v>0.9065576816200871</v>
      </c>
      <c r="T67" s="655">
        <v>0.8907967104621565</v>
      </c>
      <c r="U67" s="656">
        <v>240.791094</v>
      </c>
      <c r="V67" s="639">
        <v>1.0027459371647105</v>
      </c>
      <c r="W67" s="639">
        <v>0.9471561350005319</v>
      </c>
      <c r="X67" s="639">
        <v>0.9981343496163284</v>
      </c>
      <c r="Y67" s="639">
        <v>0.9842292356672259</v>
      </c>
      <c r="Z67" s="639">
        <v>0.9330346029412894</v>
      </c>
      <c r="AA67" s="639"/>
      <c r="AB67" s="641">
        <v>-0.01717897710735017</v>
      </c>
    </row>
    <row r="68" ht="3.75" customHeight="1" thickTop="1"/>
    <row r="69" spans="2:6" ht="22.5" customHeight="1">
      <c r="B69" s="731" t="s">
        <v>147</v>
      </c>
      <c r="C69" s="731"/>
      <c r="D69" s="731"/>
      <c r="E69" s="731"/>
      <c r="F69" s="731"/>
    </row>
  </sheetData>
  <sheetProtection/>
  <mergeCells count="33">
    <mergeCell ref="J1:P1"/>
    <mergeCell ref="B9:F9"/>
    <mergeCell ref="H9:L9"/>
    <mergeCell ref="P9:T9"/>
    <mergeCell ref="H2:R2"/>
    <mergeCell ref="J3:P3"/>
    <mergeCell ref="D4:W4"/>
    <mergeCell ref="D5:W5"/>
    <mergeCell ref="D7:W7"/>
    <mergeCell ref="A6:Y6"/>
    <mergeCell ref="P8:AB8"/>
    <mergeCell ref="E38:X38"/>
    <mergeCell ref="P24:T24"/>
    <mergeCell ref="B24:F24"/>
    <mergeCell ref="P23:AB23"/>
    <mergeCell ref="V40:Z40"/>
    <mergeCell ref="B8:N8"/>
    <mergeCell ref="H24:L24"/>
    <mergeCell ref="H40:L40"/>
    <mergeCell ref="V9:Z9"/>
    <mergeCell ref="B23:N23"/>
    <mergeCell ref="B39:N39"/>
    <mergeCell ref="B69:F69"/>
    <mergeCell ref="B55:F55"/>
    <mergeCell ref="H55:L55"/>
    <mergeCell ref="P55:T55"/>
    <mergeCell ref="B40:F40"/>
    <mergeCell ref="V24:Z24"/>
    <mergeCell ref="V55:Z55"/>
    <mergeCell ref="B54:N54"/>
    <mergeCell ref="P54:AB54"/>
    <mergeCell ref="P39:AB39"/>
    <mergeCell ref="P40:T40"/>
  </mergeCells>
  <printOptions/>
  <pageMargins left="0.75" right="0.75" top="1" bottom="1" header="0.5" footer="0.5"/>
  <pageSetup horizontalDpi="600" verticalDpi="600" orientation="landscape" scale="52" r:id="rId1"/>
  <headerFooter alignWithMargins="0">
    <oddFooter>&amp;L"&amp;F"&amp;R&amp;"Arial,Italic"&amp;A</oddFooter>
  </headerFooter>
</worksheet>
</file>

<file path=xl/worksheets/sheet23.xml><?xml version="1.0" encoding="utf-8"?>
<worksheet xmlns="http://schemas.openxmlformats.org/spreadsheetml/2006/main" xmlns:r="http://schemas.openxmlformats.org/officeDocument/2006/relationships">
  <dimension ref="A1:AP69"/>
  <sheetViews>
    <sheetView zoomScale="85" zoomScaleNormal="85" zoomScaleSheetLayoutView="70" zoomScalePageLayoutView="0" workbookViewId="0" topLeftCell="A1">
      <selection activeCell="N21" sqref="N21"/>
    </sheetView>
  </sheetViews>
  <sheetFormatPr defaultColWidth="9.140625" defaultRowHeight="12.75"/>
  <cols>
    <col min="1" max="1" width="12.00390625" style="609" bestFit="1" customWidth="1"/>
    <col min="2" max="3" width="8.140625" style="610" bestFit="1" customWidth="1"/>
    <col min="4" max="4" width="7.7109375" style="610" customWidth="1"/>
    <col min="5" max="5" width="7.8515625" style="610" bestFit="1" customWidth="1"/>
    <col min="6" max="6" width="8.140625" style="610" bestFit="1" customWidth="1"/>
    <col min="7" max="7" width="11.8515625" style="610" bestFit="1" customWidth="1"/>
    <col min="8" max="10" width="7.8515625" style="610" bestFit="1" customWidth="1"/>
    <col min="11" max="11" width="7.8515625" style="610" customWidth="1"/>
    <col min="12" max="12" width="7.7109375" style="610" bestFit="1" customWidth="1"/>
    <col min="13" max="13" width="1.57421875" style="610" customWidth="1"/>
    <col min="14" max="14" width="11.140625" style="610" bestFit="1" customWidth="1"/>
    <col min="15" max="15" width="2.421875" style="610" customWidth="1"/>
    <col min="16" max="18" width="8.140625" style="610" bestFit="1" customWidth="1"/>
    <col min="19" max="19" width="7.8515625" style="610" bestFit="1" customWidth="1"/>
    <col min="20" max="20" width="8.140625" style="610" bestFit="1" customWidth="1"/>
    <col min="21" max="21" width="11.8515625" style="610" bestFit="1" customWidth="1"/>
    <col min="22" max="23" width="7.8515625" style="610" bestFit="1" customWidth="1"/>
    <col min="24" max="24" width="7.57421875" style="610" bestFit="1" customWidth="1"/>
    <col min="25" max="26" width="7.8515625" style="610" bestFit="1" customWidth="1"/>
    <col min="27" max="27" width="1.57421875" style="610" customWidth="1"/>
    <col min="28" max="28" width="11.00390625" style="610" bestFit="1" customWidth="1"/>
    <col min="29" max="29" width="3.00390625" style="610" customWidth="1"/>
    <col min="30" max="16384" width="9.140625" style="610" customWidth="1"/>
  </cols>
  <sheetData>
    <row r="1" spans="10:16" ht="18.75" customHeight="1">
      <c r="J1" s="733" t="s">
        <v>98</v>
      </c>
      <c r="K1" s="733"/>
      <c r="L1" s="733"/>
      <c r="M1" s="733"/>
      <c r="N1" s="733"/>
      <c r="O1" s="733"/>
      <c r="P1" s="733"/>
    </row>
    <row r="2" spans="2:29" ht="18" customHeight="1">
      <c r="B2" s="611"/>
      <c r="C2" s="611"/>
      <c r="E2" s="611"/>
      <c r="F2" s="611"/>
      <c r="G2" s="611"/>
      <c r="H2" s="734" t="s">
        <v>94</v>
      </c>
      <c r="I2" s="734"/>
      <c r="J2" s="734"/>
      <c r="K2" s="734"/>
      <c r="L2" s="734"/>
      <c r="M2" s="734"/>
      <c r="N2" s="734"/>
      <c r="O2" s="734"/>
      <c r="P2" s="734"/>
      <c r="Q2" s="734"/>
      <c r="R2" s="734"/>
      <c r="S2" s="611"/>
      <c r="T2" s="611"/>
      <c r="U2" s="611"/>
      <c r="V2" s="611"/>
      <c r="W2" s="611"/>
      <c r="X2" s="611"/>
      <c r="Y2" s="611"/>
      <c r="Z2" s="611"/>
      <c r="AA2" s="611"/>
      <c r="AB2" s="611"/>
      <c r="AC2" s="611"/>
    </row>
    <row r="3" spans="2:27" ht="18" customHeight="1">
      <c r="B3" s="612"/>
      <c r="C3" s="612"/>
      <c r="E3" s="612"/>
      <c r="F3" s="612"/>
      <c r="G3" s="612"/>
      <c r="H3" s="612"/>
      <c r="I3" s="612"/>
      <c r="J3" s="735" t="s">
        <v>1</v>
      </c>
      <c r="K3" s="735"/>
      <c r="L3" s="735"/>
      <c r="M3" s="735"/>
      <c r="N3" s="735"/>
      <c r="O3" s="735"/>
      <c r="P3" s="735"/>
      <c r="Q3" s="612"/>
      <c r="R3" s="612"/>
      <c r="S3" s="612"/>
      <c r="T3" s="612"/>
      <c r="U3" s="612"/>
      <c r="V3" s="612"/>
      <c r="W3" s="612"/>
      <c r="X3" s="612"/>
      <c r="Y3" s="613"/>
      <c r="Z3" s="613"/>
      <c r="AA3" s="613"/>
    </row>
    <row r="4" spans="2:27" ht="18" customHeight="1">
      <c r="B4" s="612"/>
      <c r="C4" s="612"/>
      <c r="D4" s="732" t="s">
        <v>127</v>
      </c>
      <c r="E4" s="732"/>
      <c r="F4" s="732"/>
      <c r="G4" s="732"/>
      <c r="H4" s="732"/>
      <c r="I4" s="732"/>
      <c r="J4" s="732"/>
      <c r="K4" s="732"/>
      <c r="L4" s="732"/>
      <c r="M4" s="732"/>
      <c r="N4" s="732"/>
      <c r="O4" s="732"/>
      <c r="P4" s="732"/>
      <c r="Q4" s="732"/>
      <c r="R4" s="732"/>
      <c r="S4" s="732"/>
      <c r="T4" s="732"/>
      <c r="U4" s="732"/>
      <c r="V4" s="732"/>
      <c r="W4" s="732"/>
      <c r="X4" s="612"/>
      <c r="Y4" s="613"/>
      <c r="Z4" s="613"/>
      <c r="AA4" s="613"/>
    </row>
    <row r="5" spans="2:27" ht="18" customHeight="1">
      <c r="B5" s="614"/>
      <c r="C5" s="614"/>
      <c r="D5" s="738" t="s">
        <v>135</v>
      </c>
      <c r="E5" s="738"/>
      <c r="F5" s="738"/>
      <c r="G5" s="738"/>
      <c r="H5" s="738"/>
      <c r="I5" s="738"/>
      <c r="J5" s="738"/>
      <c r="K5" s="738"/>
      <c r="L5" s="738"/>
      <c r="M5" s="738"/>
      <c r="N5" s="738"/>
      <c r="O5" s="738"/>
      <c r="P5" s="738"/>
      <c r="Q5" s="738"/>
      <c r="R5" s="738"/>
      <c r="S5" s="738"/>
      <c r="T5" s="738"/>
      <c r="U5" s="738"/>
      <c r="V5" s="738"/>
      <c r="W5" s="738"/>
      <c r="X5" s="614"/>
      <c r="Y5" s="613"/>
      <c r="Z5" s="613"/>
      <c r="AA5" s="613"/>
    </row>
    <row r="6" spans="1:27" ht="18" customHeight="1">
      <c r="A6" s="736" t="s">
        <v>88</v>
      </c>
      <c r="B6" s="736"/>
      <c r="C6" s="736"/>
      <c r="D6" s="736"/>
      <c r="E6" s="736"/>
      <c r="F6" s="736"/>
      <c r="G6" s="736"/>
      <c r="H6" s="736"/>
      <c r="I6" s="736"/>
      <c r="J6" s="736"/>
      <c r="K6" s="736"/>
      <c r="L6" s="736"/>
      <c r="M6" s="736"/>
      <c r="N6" s="736"/>
      <c r="O6" s="736"/>
      <c r="P6" s="736"/>
      <c r="Q6" s="736"/>
      <c r="R6" s="736"/>
      <c r="S6" s="736"/>
      <c r="T6" s="736"/>
      <c r="U6" s="736"/>
      <c r="V6" s="736"/>
      <c r="W6" s="736"/>
      <c r="X6" s="736"/>
      <c r="Y6" s="736"/>
      <c r="Z6" s="613"/>
      <c r="AA6" s="613"/>
    </row>
    <row r="7" spans="2:27" ht="18" customHeight="1">
      <c r="B7" s="615"/>
      <c r="C7" s="615"/>
      <c r="D7" s="736" t="s">
        <v>184</v>
      </c>
      <c r="E7" s="736"/>
      <c r="F7" s="736"/>
      <c r="G7" s="736"/>
      <c r="H7" s="736"/>
      <c r="I7" s="736"/>
      <c r="J7" s="736"/>
      <c r="K7" s="736"/>
      <c r="L7" s="736"/>
      <c r="M7" s="736"/>
      <c r="N7" s="736"/>
      <c r="O7" s="736"/>
      <c r="P7" s="736"/>
      <c r="Q7" s="736"/>
      <c r="R7" s="736"/>
      <c r="S7" s="736"/>
      <c r="T7" s="736"/>
      <c r="U7" s="736"/>
      <c r="V7" s="736"/>
      <c r="W7" s="736"/>
      <c r="X7" s="613"/>
      <c r="Y7" s="613"/>
      <c r="Z7" s="613"/>
      <c r="AA7" s="613"/>
    </row>
    <row r="8" spans="1:28" ht="18" customHeight="1">
      <c r="A8" s="616"/>
      <c r="B8" s="729" t="s">
        <v>268</v>
      </c>
      <c r="C8" s="729"/>
      <c r="D8" s="729"/>
      <c r="E8" s="729"/>
      <c r="F8" s="729"/>
      <c r="G8" s="729"/>
      <c r="H8" s="729"/>
      <c r="I8" s="729"/>
      <c r="J8" s="729"/>
      <c r="K8" s="729"/>
      <c r="L8" s="729"/>
      <c r="M8" s="729"/>
      <c r="N8" s="729"/>
      <c r="O8" s="616"/>
      <c r="P8" s="729" t="s">
        <v>269</v>
      </c>
      <c r="Q8" s="729"/>
      <c r="R8" s="729"/>
      <c r="S8" s="729"/>
      <c r="T8" s="729"/>
      <c r="U8" s="729"/>
      <c r="V8" s="729"/>
      <c r="W8" s="729"/>
      <c r="X8" s="729"/>
      <c r="Y8" s="729"/>
      <c r="Z8" s="729"/>
      <c r="AA8" s="729"/>
      <c r="AB8" s="729"/>
    </row>
    <row r="9" spans="1:28" ht="27">
      <c r="A9" s="617"/>
      <c r="B9" s="730" t="s">
        <v>81</v>
      </c>
      <c r="C9" s="726"/>
      <c r="D9" s="726"/>
      <c r="E9" s="726"/>
      <c r="F9" s="726"/>
      <c r="G9" s="618" t="s">
        <v>128</v>
      </c>
      <c r="H9" s="726" t="s">
        <v>143</v>
      </c>
      <c r="I9" s="726"/>
      <c r="J9" s="726"/>
      <c r="K9" s="726"/>
      <c r="L9" s="726"/>
      <c r="M9" s="618"/>
      <c r="N9" s="619" t="s">
        <v>265</v>
      </c>
      <c r="P9" s="730" t="s">
        <v>81</v>
      </c>
      <c r="Q9" s="726"/>
      <c r="R9" s="726"/>
      <c r="S9" s="726"/>
      <c r="T9" s="726"/>
      <c r="U9" s="618" t="s">
        <v>128</v>
      </c>
      <c r="V9" s="726" t="s">
        <v>143</v>
      </c>
      <c r="W9" s="726"/>
      <c r="X9" s="726"/>
      <c r="Y9" s="726"/>
      <c r="Z9" s="726"/>
      <c r="AA9" s="618"/>
      <c r="AB9" s="619" t="s">
        <v>265</v>
      </c>
    </row>
    <row r="10" spans="1:28" ht="12.75">
      <c r="A10" s="609" t="s">
        <v>11</v>
      </c>
      <c r="B10" s="620">
        <v>2003</v>
      </c>
      <c r="C10" s="621">
        <v>2004</v>
      </c>
      <c r="D10" s="621">
        <v>2005</v>
      </c>
      <c r="E10" s="621">
        <v>2006</v>
      </c>
      <c r="F10" s="621">
        <v>2007</v>
      </c>
      <c r="G10" s="621">
        <v>2007</v>
      </c>
      <c r="H10" s="622" t="s">
        <v>89</v>
      </c>
      <c r="I10" s="623" t="s">
        <v>90</v>
      </c>
      <c r="J10" s="623" t="s">
        <v>91</v>
      </c>
      <c r="K10" s="623" t="s">
        <v>92</v>
      </c>
      <c r="L10" s="623" t="s">
        <v>93</v>
      </c>
      <c r="M10" s="623"/>
      <c r="N10" s="624" t="s">
        <v>93</v>
      </c>
      <c r="P10" s="620">
        <v>2003</v>
      </c>
      <c r="Q10" s="621">
        <v>2004</v>
      </c>
      <c r="R10" s="621">
        <v>2005</v>
      </c>
      <c r="S10" s="621">
        <v>2006</v>
      </c>
      <c r="T10" s="621">
        <v>2007</v>
      </c>
      <c r="U10" s="621">
        <v>2007</v>
      </c>
      <c r="V10" s="622" t="s">
        <v>89</v>
      </c>
      <c r="W10" s="623" t="s">
        <v>90</v>
      </c>
      <c r="X10" s="623" t="s">
        <v>91</v>
      </c>
      <c r="Y10" s="623" t="s">
        <v>92</v>
      </c>
      <c r="Z10" s="623" t="s">
        <v>93</v>
      </c>
      <c r="AA10" s="623"/>
      <c r="AB10" s="624" t="s">
        <v>93</v>
      </c>
    </row>
    <row r="11" spans="1:28" s="629" customFormat="1" ht="12.75">
      <c r="A11" s="625" t="s">
        <v>95</v>
      </c>
      <c r="B11" s="626">
        <v>0.6398920689459997</v>
      </c>
      <c r="C11" s="627">
        <v>0.6228063411991438</v>
      </c>
      <c r="D11" s="627">
        <v>0.6401560378525463</v>
      </c>
      <c r="E11" s="627">
        <v>0.6081961395512134</v>
      </c>
      <c r="F11" s="627">
        <v>0.6038411585919915</v>
      </c>
      <c r="G11" s="571">
        <v>1261</v>
      </c>
      <c r="H11" s="627">
        <v>0.9732990474862445</v>
      </c>
      <c r="I11" s="627">
        <v>1.0278572896672786</v>
      </c>
      <c r="J11" s="627">
        <v>0.9500748311168871</v>
      </c>
      <c r="K11" s="627">
        <v>0.9928395123283166</v>
      </c>
      <c r="L11" s="627">
        <v>0.9436609514267155</v>
      </c>
      <c r="M11" s="627"/>
      <c r="N11" s="630">
        <v>-0.014392507973370772</v>
      </c>
      <c r="P11" s="626">
        <v>0.6347429042026833</v>
      </c>
      <c r="Q11" s="627">
        <v>0.6189995670045728</v>
      </c>
      <c r="R11" s="627">
        <v>0.6509860841811216</v>
      </c>
      <c r="S11" s="627">
        <v>0.58918487096386</v>
      </c>
      <c r="T11" s="627">
        <v>0.609490300487857</v>
      </c>
      <c r="U11" s="571">
        <v>927</v>
      </c>
      <c r="V11" s="627">
        <v>0.9751973009956116</v>
      </c>
      <c r="W11" s="627">
        <v>1.0516745388552307</v>
      </c>
      <c r="X11" s="627">
        <v>0.9050652314711125</v>
      </c>
      <c r="Y11" s="627">
        <v>1.0344635962745936</v>
      </c>
      <c r="Z11" s="627">
        <v>0.9602160125814297</v>
      </c>
      <c r="AA11" s="627"/>
      <c r="AB11" s="630">
        <v>-0.010097921826691558</v>
      </c>
    </row>
    <row r="12" spans="1:28" s="629" customFormat="1" ht="9" customHeight="1">
      <c r="A12" s="625"/>
      <c r="B12" s="626"/>
      <c r="C12" s="627"/>
      <c r="D12" s="627"/>
      <c r="E12" s="627"/>
      <c r="F12" s="627"/>
      <c r="G12" s="571"/>
      <c r="H12" s="627"/>
      <c r="I12" s="627"/>
      <c r="J12" s="627"/>
      <c r="K12" s="627"/>
      <c r="L12" s="627"/>
      <c r="M12" s="627"/>
      <c r="N12" s="630"/>
      <c r="P12" s="657"/>
      <c r="U12" s="572"/>
      <c r="V12" s="627"/>
      <c r="W12" s="627"/>
      <c r="X12" s="627"/>
      <c r="Y12" s="627"/>
      <c r="Z12" s="627"/>
      <c r="AA12" s="627"/>
      <c r="AB12" s="630"/>
    </row>
    <row r="13" spans="1:28" s="629" customFormat="1" ht="12.75">
      <c r="A13" s="625" t="s">
        <v>20</v>
      </c>
      <c r="B13" s="626">
        <v>0.5855534465076297</v>
      </c>
      <c r="C13" s="627">
        <v>0.5991976730700251</v>
      </c>
      <c r="D13" s="627">
        <v>0.55005323240652</v>
      </c>
      <c r="E13" s="627">
        <v>0.5585141002876011</v>
      </c>
      <c r="F13" s="627">
        <v>0.5260397277645253</v>
      </c>
      <c r="G13" s="571">
        <v>1040</v>
      </c>
      <c r="H13" s="627">
        <v>1.0233014196121166</v>
      </c>
      <c r="I13" s="627">
        <v>0.9179829247137917</v>
      </c>
      <c r="J13" s="627">
        <v>1.0153819073911523</v>
      </c>
      <c r="K13" s="627">
        <v>0.9418557696101971</v>
      </c>
      <c r="L13" s="627">
        <v>0.8983633021066525</v>
      </c>
      <c r="M13" s="627"/>
      <c r="N13" s="630">
        <v>-0.026439375290534306</v>
      </c>
      <c r="P13" s="626">
        <v>0.5978860948493835</v>
      </c>
      <c r="Q13" s="627">
        <v>0.6334617870842149</v>
      </c>
      <c r="R13" s="627">
        <v>0.5601499957210748</v>
      </c>
      <c r="S13" s="627">
        <v>0.5367870897063602</v>
      </c>
      <c r="T13" s="627">
        <v>0.5115520154898232</v>
      </c>
      <c r="U13" s="572">
        <v>723</v>
      </c>
      <c r="V13" s="627">
        <v>1.0595024579787116</v>
      </c>
      <c r="W13" s="627">
        <v>0.8842680129126815</v>
      </c>
      <c r="X13" s="627">
        <v>0.9582916965220364</v>
      </c>
      <c r="Y13" s="627">
        <v>0.9529886714854833</v>
      </c>
      <c r="Z13" s="627">
        <v>0.8556011251920667</v>
      </c>
      <c r="AA13" s="627"/>
      <c r="AB13" s="630">
        <v>-0.03823750613345922</v>
      </c>
    </row>
    <row r="14" spans="1:28" s="629" customFormat="1" ht="9" customHeight="1">
      <c r="A14" s="625"/>
      <c r="B14" s="626"/>
      <c r="C14" s="627"/>
      <c r="D14" s="627"/>
      <c r="E14" s="627"/>
      <c r="F14" s="627"/>
      <c r="G14" s="571"/>
      <c r="H14" s="627"/>
      <c r="I14" s="627"/>
      <c r="J14" s="627"/>
      <c r="K14" s="627"/>
      <c r="L14" s="627"/>
      <c r="M14" s="627"/>
      <c r="N14" s="630"/>
      <c r="P14" s="657"/>
      <c r="U14" s="572"/>
      <c r="V14" s="627"/>
      <c r="W14" s="627"/>
      <c r="X14" s="627"/>
      <c r="Y14" s="627"/>
      <c r="Z14" s="627"/>
      <c r="AA14" s="627"/>
      <c r="AB14" s="630"/>
    </row>
    <row r="15" spans="1:28" s="629" customFormat="1" ht="12.75">
      <c r="A15" s="625" t="s">
        <v>21</v>
      </c>
      <c r="B15" s="626">
        <v>0.6035316294353327</v>
      </c>
      <c r="C15" s="627">
        <v>0.6287436971588068</v>
      </c>
      <c r="D15" s="627">
        <v>0.6119263334191528</v>
      </c>
      <c r="E15" s="627">
        <v>0.5689849664907606</v>
      </c>
      <c r="F15" s="627">
        <v>0.5675585765003937</v>
      </c>
      <c r="G15" s="571">
        <v>793</v>
      </c>
      <c r="H15" s="627">
        <v>1.0417742277187074</v>
      </c>
      <c r="I15" s="627">
        <v>0.9732524336774284</v>
      </c>
      <c r="J15" s="627">
        <v>0.929825920894013</v>
      </c>
      <c r="K15" s="627">
        <v>0.9974930972268665</v>
      </c>
      <c r="L15" s="627">
        <v>0.9403957453421362</v>
      </c>
      <c r="M15" s="627"/>
      <c r="N15" s="630">
        <v>-0.015246203315768203</v>
      </c>
      <c r="P15" s="626">
        <v>0.5937579628790435</v>
      </c>
      <c r="Q15" s="627">
        <v>0.6484879684757758</v>
      </c>
      <c r="R15" s="627">
        <v>0.6167918419167558</v>
      </c>
      <c r="S15" s="627">
        <v>0.5669348617163301</v>
      </c>
      <c r="T15" s="627">
        <v>0.53840453873054</v>
      </c>
      <c r="U15" s="572">
        <v>546</v>
      </c>
      <c r="V15" s="627">
        <v>1.0921756153489794</v>
      </c>
      <c r="W15" s="627">
        <v>0.951123030650022</v>
      </c>
      <c r="X15" s="627">
        <v>0.9191672509067418</v>
      </c>
      <c r="Y15" s="627">
        <v>0.9496761887257773</v>
      </c>
      <c r="Z15" s="627">
        <v>0.906774430644933</v>
      </c>
      <c r="AA15" s="627"/>
      <c r="AB15" s="630">
        <v>-0.024168537674208457</v>
      </c>
    </row>
    <row r="16" spans="1:28" s="629" customFormat="1" ht="9" customHeight="1">
      <c r="A16" s="625"/>
      <c r="B16" s="626"/>
      <c r="C16" s="627"/>
      <c r="D16" s="627"/>
      <c r="E16" s="627"/>
      <c r="F16" s="627"/>
      <c r="G16" s="571"/>
      <c r="H16" s="627"/>
      <c r="I16" s="627"/>
      <c r="J16" s="627"/>
      <c r="K16" s="627"/>
      <c r="L16" s="627"/>
      <c r="M16" s="627"/>
      <c r="N16" s="630"/>
      <c r="P16" s="657"/>
      <c r="U16" s="572"/>
      <c r="V16" s="627"/>
      <c r="W16" s="627"/>
      <c r="X16" s="627"/>
      <c r="Y16" s="627"/>
      <c r="Z16" s="627"/>
      <c r="AA16" s="627"/>
      <c r="AB16" s="630"/>
    </row>
    <row r="17" spans="1:28" s="629" customFormat="1" ht="12.75">
      <c r="A17" s="625" t="s">
        <v>22</v>
      </c>
      <c r="B17" s="626">
        <v>0.738097809231166</v>
      </c>
      <c r="C17" s="627">
        <v>0.7154687228666473</v>
      </c>
      <c r="D17" s="627">
        <v>0.673535924528367</v>
      </c>
      <c r="E17" s="627">
        <v>0.7257019285528759</v>
      </c>
      <c r="F17" s="627">
        <v>0.7553876189323157</v>
      </c>
      <c r="G17" s="571">
        <v>845</v>
      </c>
      <c r="H17" s="627">
        <v>0.9693413446273603</v>
      </c>
      <c r="I17" s="627">
        <v>0.9413911510061971</v>
      </c>
      <c r="J17" s="627">
        <v>1.077450960111797</v>
      </c>
      <c r="K17" s="627">
        <v>1.04090617540267</v>
      </c>
      <c r="L17" s="627">
        <v>1.0234248218663045</v>
      </c>
      <c r="M17" s="627"/>
      <c r="N17" s="630">
        <v>0.005805454565536605</v>
      </c>
      <c r="P17" s="626">
        <v>0.7050035763796378</v>
      </c>
      <c r="Q17" s="627">
        <v>0.7223926090892968</v>
      </c>
      <c r="R17" s="627">
        <v>0.6773262026668484</v>
      </c>
      <c r="S17" s="627">
        <v>0.7281981399512883</v>
      </c>
      <c r="T17" s="627">
        <v>0.7379244384561062</v>
      </c>
      <c r="U17" s="572">
        <v>600</v>
      </c>
      <c r="V17" s="627">
        <v>1.0246651695002114</v>
      </c>
      <c r="W17" s="627">
        <v>0.937615078206209</v>
      </c>
      <c r="X17" s="627">
        <v>1.075106997314058</v>
      </c>
      <c r="Y17" s="627">
        <v>1.013356664856997</v>
      </c>
      <c r="Z17" s="627">
        <v>1.0466960213812317</v>
      </c>
      <c r="AA17" s="627"/>
      <c r="AB17" s="630">
        <v>0.011474977382953</v>
      </c>
    </row>
    <row r="18" spans="1:28" s="629" customFormat="1" ht="9" customHeight="1">
      <c r="A18" s="625"/>
      <c r="B18" s="626"/>
      <c r="C18" s="627"/>
      <c r="D18" s="627"/>
      <c r="E18" s="627"/>
      <c r="F18" s="627"/>
      <c r="G18" s="571"/>
      <c r="H18" s="627"/>
      <c r="I18" s="627"/>
      <c r="J18" s="627"/>
      <c r="K18" s="627"/>
      <c r="L18" s="627"/>
      <c r="M18" s="627"/>
      <c r="N18" s="630"/>
      <c r="P18" s="626"/>
      <c r="Q18" s="627"/>
      <c r="R18" s="627"/>
      <c r="S18" s="627"/>
      <c r="T18" s="627"/>
      <c r="U18" s="572"/>
      <c r="V18" s="627"/>
      <c r="W18" s="627"/>
      <c r="X18" s="627"/>
      <c r="Y18" s="627"/>
      <c r="Z18" s="627"/>
      <c r="AA18" s="627"/>
      <c r="AB18" s="630"/>
    </row>
    <row r="19" spans="1:28" s="629" customFormat="1" ht="12.75">
      <c r="A19" s="631" t="s">
        <v>96</v>
      </c>
      <c r="B19" s="632">
        <v>0.9037625005373415</v>
      </c>
      <c r="C19" s="633">
        <v>0.8076024124481191</v>
      </c>
      <c r="D19" s="633">
        <v>0.8071593248355978</v>
      </c>
      <c r="E19" s="633">
        <v>0.8196521905111228</v>
      </c>
      <c r="F19" s="633">
        <v>0.8895992653064444</v>
      </c>
      <c r="G19" s="634">
        <v>971</v>
      </c>
      <c r="H19" s="633">
        <v>0.8936002677340016</v>
      </c>
      <c r="I19" s="633">
        <v>0.9994513542732268</v>
      </c>
      <c r="J19" s="633">
        <v>1.015477570897257</v>
      </c>
      <c r="K19" s="633">
        <v>1.0853375073050238</v>
      </c>
      <c r="L19" s="633">
        <v>0.9843285871869255</v>
      </c>
      <c r="M19" s="633"/>
      <c r="N19" s="635">
        <v>-0.003941090339399822</v>
      </c>
      <c r="P19" s="632">
        <v>0.8899849170404582</v>
      </c>
      <c r="Q19" s="633">
        <v>0.8259957692306824</v>
      </c>
      <c r="R19" s="633">
        <v>0.8170450706778312</v>
      </c>
      <c r="S19" s="633">
        <v>0.8160214751697845</v>
      </c>
      <c r="T19" s="633">
        <v>0.9107360556512973</v>
      </c>
      <c r="U19" s="636">
        <v>667</v>
      </c>
      <c r="V19" s="633">
        <v>0.9281008626274653</v>
      </c>
      <c r="W19" s="633">
        <v>0.9891637477015315</v>
      </c>
      <c r="X19" s="633">
        <v>0.9987471982332659</v>
      </c>
      <c r="Y19" s="633">
        <v>1.116068735154067</v>
      </c>
      <c r="Z19" s="633">
        <v>1.0233162812240062</v>
      </c>
      <c r="AA19" s="633"/>
      <c r="AB19" s="635">
        <v>0.005778785505473616</v>
      </c>
    </row>
    <row r="20" spans="1:28" s="629" customFormat="1" ht="4.5" customHeight="1">
      <c r="A20" s="625"/>
      <c r="B20" s="626"/>
      <c r="C20" s="627"/>
      <c r="D20" s="627"/>
      <c r="E20" s="627"/>
      <c r="F20" s="627"/>
      <c r="G20" s="627"/>
      <c r="H20" s="627"/>
      <c r="I20" s="627"/>
      <c r="J20" s="627"/>
      <c r="K20" s="627"/>
      <c r="L20" s="627"/>
      <c r="M20" s="627"/>
      <c r="N20" s="630"/>
      <c r="P20" s="626"/>
      <c r="Q20" s="627"/>
      <c r="R20" s="650"/>
      <c r="S20" s="650"/>
      <c r="T20" s="650"/>
      <c r="U20" s="572"/>
      <c r="V20" s="627"/>
      <c r="W20" s="627"/>
      <c r="X20" s="627"/>
      <c r="Y20" s="627"/>
      <c r="Z20" s="627"/>
      <c r="AA20" s="627"/>
      <c r="AB20" s="630"/>
    </row>
    <row r="21" spans="1:28" ht="13.5" thickBot="1">
      <c r="A21" s="637" t="s">
        <v>84</v>
      </c>
      <c r="B21" s="638">
        <v>0.6750294908506479</v>
      </c>
      <c r="C21" s="639">
        <v>0.6584414493120988</v>
      </c>
      <c r="D21" s="639">
        <v>0.6403347452302784</v>
      </c>
      <c r="E21" s="639">
        <v>0.635880276663416</v>
      </c>
      <c r="F21" s="639">
        <v>0.6399327842755244</v>
      </c>
      <c r="G21" s="640">
        <v>4910</v>
      </c>
      <c r="H21" s="639">
        <v>0.9754261972796989</v>
      </c>
      <c r="I21" s="639">
        <v>0.9725006618268986</v>
      </c>
      <c r="J21" s="639">
        <v>0.99304353137161</v>
      </c>
      <c r="K21" s="639">
        <v>1.0063730670077906</v>
      </c>
      <c r="L21" s="639">
        <v>0.9480071507233025</v>
      </c>
      <c r="M21" s="639"/>
      <c r="N21" s="641">
        <v>-0.013259614855460677</v>
      </c>
      <c r="P21" s="642">
        <v>0.6652987414079365</v>
      </c>
      <c r="Q21" s="643">
        <v>0.672948528579556</v>
      </c>
      <c r="R21" s="643">
        <v>0.6476095347091638</v>
      </c>
      <c r="S21" s="643">
        <v>0.6227710764602464</v>
      </c>
      <c r="T21" s="643">
        <v>0.6303397792792909</v>
      </c>
      <c r="U21" s="644">
        <v>3463</v>
      </c>
      <c r="V21" s="639">
        <v>1.0114982739264329</v>
      </c>
      <c r="W21" s="639">
        <v>0.9623463120962948</v>
      </c>
      <c r="X21" s="639">
        <v>0.9616459349072553</v>
      </c>
      <c r="Y21" s="639">
        <v>1.0121532664330912</v>
      </c>
      <c r="Z21" s="639">
        <v>0.9474537377679929</v>
      </c>
      <c r="AA21" s="639"/>
      <c r="AB21" s="641">
        <v>-0.013403652401791755</v>
      </c>
    </row>
    <row r="22" spans="1:18" ht="13.5" thickTop="1">
      <c r="A22" s="625"/>
      <c r="B22" s="645"/>
      <c r="C22" s="645"/>
      <c r="D22" s="646"/>
      <c r="E22" s="646"/>
      <c r="F22" s="646"/>
      <c r="G22" s="646"/>
      <c r="H22" s="646"/>
      <c r="I22" s="646"/>
      <c r="J22" s="646"/>
      <c r="K22" s="646"/>
      <c r="L22" s="646"/>
      <c r="M22" s="646"/>
      <c r="N22" s="646"/>
      <c r="P22" s="646"/>
      <c r="Q22" s="646"/>
      <c r="R22" s="646"/>
    </row>
    <row r="23" spans="1:28" ht="12.75">
      <c r="A23" s="625"/>
      <c r="B23" s="727" t="s">
        <v>259</v>
      </c>
      <c r="C23" s="727"/>
      <c r="D23" s="727"/>
      <c r="E23" s="727"/>
      <c r="F23" s="727"/>
      <c r="G23" s="727"/>
      <c r="H23" s="727"/>
      <c r="I23" s="727"/>
      <c r="J23" s="727"/>
      <c r="K23" s="727"/>
      <c r="L23" s="727"/>
      <c r="M23" s="727"/>
      <c r="N23" s="727"/>
      <c r="P23" s="728" t="s">
        <v>260</v>
      </c>
      <c r="Q23" s="728"/>
      <c r="R23" s="728"/>
      <c r="S23" s="728"/>
      <c r="T23" s="728"/>
      <c r="U23" s="728"/>
      <c r="V23" s="728"/>
      <c r="W23" s="728"/>
      <c r="X23" s="728"/>
      <c r="Y23" s="728"/>
      <c r="Z23" s="728"/>
      <c r="AA23" s="728"/>
      <c r="AB23" s="728"/>
    </row>
    <row r="24" spans="1:28" s="648" customFormat="1" ht="27">
      <c r="A24" s="647"/>
      <c r="B24" s="730" t="s">
        <v>81</v>
      </c>
      <c r="C24" s="726"/>
      <c r="D24" s="726"/>
      <c r="E24" s="726"/>
      <c r="F24" s="726"/>
      <c r="G24" s="618" t="s">
        <v>129</v>
      </c>
      <c r="H24" s="726" t="s">
        <v>143</v>
      </c>
      <c r="I24" s="726"/>
      <c r="J24" s="726"/>
      <c r="K24" s="726"/>
      <c r="L24" s="726"/>
      <c r="M24" s="618"/>
      <c r="N24" s="619" t="s">
        <v>265</v>
      </c>
      <c r="P24" s="730" t="s">
        <v>81</v>
      </c>
      <c r="Q24" s="726"/>
      <c r="R24" s="726"/>
      <c r="S24" s="726"/>
      <c r="T24" s="726"/>
      <c r="U24" s="618" t="s">
        <v>129</v>
      </c>
      <c r="V24" s="726" t="s">
        <v>143</v>
      </c>
      <c r="W24" s="726"/>
      <c r="X24" s="726"/>
      <c r="Y24" s="726"/>
      <c r="Z24" s="726"/>
      <c r="AA24" s="618"/>
      <c r="AB24" s="619" t="s">
        <v>265</v>
      </c>
    </row>
    <row r="25" spans="1:28" ht="12.75">
      <c r="A25" s="609" t="s">
        <v>11</v>
      </c>
      <c r="B25" s="620">
        <v>2003</v>
      </c>
      <c r="C25" s="621">
        <v>2004</v>
      </c>
      <c r="D25" s="621">
        <v>2005</v>
      </c>
      <c r="E25" s="621">
        <v>2006</v>
      </c>
      <c r="F25" s="621">
        <v>2007</v>
      </c>
      <c r="G25" s="621">
        <v>2007</v>
      </c>
      <c r="H25" s="622" t="s">
        <v>89</v>
      </c>
      <c r="I25" s="623" t="s">
        <v>90</v>
      </c>
      <c r="J25" s="623" t="s">
        <v>91</v>
      </c>
      <c r="K25" s="623" t="s">
        <v>92</v>
      </c>
      <c r="L25" s="623" t="s">
        <v>93</v>
      </c>
      <c r="M25" s="623"/>
      <c r="N25" s="624" t="s">
        <v>93</v>
      </c>
      <c r="O25" s="649"/>
      <c r="P25" s="620">
        <v>2003</v>
      </c>
      <c r="Q25" s="621">
        <v>2004</v>
      </c>
      <c r="R25" s="621">
        <v>2005</v>
      </c>
      <c r="S25" s="621">
        <v>2006</v>
      </c>
      <c r="T25" s="621">
        <v>2007</v>
      </c>
      <c r="U25" s="621">
        <v>2007</v>
      </c>
      <c r="V25" s="622" t="s">
        <v>89</v>
      </c>
      <c r="W25" s="623" t="s">
        <v>90</v>
      </c>
      <c r="X25" s="623" t="s">
        <v>91</v>
      </c>
      <c r="Y25" s="623" t="s">
        <v>92</v>
      </c>
      <c r="Z25" s="623" t="s">
        <v>93</v>
      </c>
      <c r="AA25" s="623"/>
      <c r="AB25" s="624" t="s">
        <v>93</v>
      </c>
    </row>
    <row r="26" spans="1:28" ht="12.75">
      <c r="A26" s="625" t="s">
        <v>95</v>
      </c>
      <c r="B26" s="626">
        <v>0.6526119200884014</v>
      </c>
      <c r="C26" s="650">
        <v>0.5874521481267231</v>
      </c>
      <c r="D26" s="650">
        <v>0.6079960791075029</v>
      </c>
      <c r="E26" s="627">
        <v>0.5773738602469266</v>
      </c>
      <c r="F26" s="627">
        <v>0.6059040817061404</v>
      </c>
      <c r="G26" s="651">
        <v>246.217106</v>
      </c>
      <c r="H26" s="627">
        <v>0.900155406366387</v>
      </c>
      <c r="I26" s="627">
        <v>1.034971241566297</v>
      </c>
      <c r="J26" s="627">
        <v>0.9496341836520926</v>
      </c>
      <c r="K26" s="627">
        <v>1.0494137740267844</v>
      </c>
      <c r="L26" s="627">
        <v>0.928429382080649</v>
      </c>
      <c r="M26" s="627"/>
      <c r="N26" s="630">
        <v>-0.018393966738404766</v>
      </c>
      <c r="P26" s="626">
        <v>0.6410502468946297</v>
      </c>
      <c r="Q26" s="627">
        <v>0.5982902775392117</v>
      </c>
      <c r="R26" s="650">
        <v>0.6312057113728584</v>
      </c>
      <c r="S26" s="650">
        <v>0.560932121343515</v>
      </c>
      <c r="T26" s="650">
        <v>0.6141316270106874</v>
      </c>
      <c r="U26" s="565">
        <v>178.039288</v>
      </c>
      <c r="V26" s="627">
        <v>0.9332970082102682</v>
      </c>
      <c r="W26" s="627">
        <v>1.0550158260452251</v>
      </c>
      <c r="X26" s="627">
        <v>0.8886676898463103</v>
      </c>
      <c r="Y26" s="627">
        <v>1.0948412537683734</v>
      </c>
      <c r="Z26" s="627">
        <v>0.9580085648288237</v>
      </c>
      <c r="AA26" s="627"/>
      <c r="AB26" s="630">
        <v>-0.010667336266278582</v>
      </c>
    </row>
    <row r="27" spans="1:28" ht="9" customHeight="1">
      <c r="A27" s="625"/>
      <c r="B27" s="626"/>
      <c r="C27" s="650"/>
      <c r="D27" s="650"/>
      <c r="G27" s="651"/>
      <c r="H27" s="627"/>
      <c r="I27" s="627"/>
      <c r="J27" s="627"/>
      <c r="K27" s="627"/>
      <c r="L27" s="627"/>
      <c r="M27" s="627"/>
      <c r="N27" s="630"/>
      <c r="P27" s="626"/>
      <c r="Q27" s="627"/>
      <c r="R27" s="650"/>
      <c r="S27" s="650"/>
      <c r="T27" s="650"/>
      <c r="U27" s="565"/>
      <c r="V27" s="627"/>
      <c r="W27" s="627"/>
      <c r="X27" s="627"/>
      <c r="Y27" s="627"/>
      <c r="Z27" s="627"/>
      <c r="AA27" s="627"/>
      <c r="AB27" s="630"/>
    </row>
    <row r="28" spans="1:28" ht="12.75">
      <c r="A28" s="625" t="s">
        <v>20</v>
      </c>
      <c r="B28" s="626">
        <v>0.5442602667274862</v>
      </c>
      <c r="C28" s="650">
        <v>0.5651938181770959</v>
      </c>
      <c r="D28" s="650">
        <v>0.5145849183090547</v>
      </c>
      <c r="E28" s="627">
        <v>0.5434443609493421</v>
      </c>
      <c r="F28" s="627">
        <v>0.49423448553574406</v>
      </c>
      <c r="G28" s="651">
        <v>199.763671</v>
      </c>
      <c r="H28" s="627">
        <v>1.0384623914868496</v>
      </c>
      <c r="I28" s="627">
        <v>0.9104574426675991</v>
      </c>
      <c r="J28" s="627">
        <v>1.0560829546561927</v>
      </c>
      <c r="K28" s="627">
        <v>0.9094481809920092</v>
      </c>
      <c r="L28" s="627">
        <v>0.9080848185142454</v>
      </c>
      <c r="M28" s="627"/>
      <c r="N28" s="630">
        <v>-0.023816182862006152</v>
      </c>
      <c r="P28" s="626">
        <v>0.5502325798591083</v>
      </c>
      <c r="Q28" s="627">
        <v>0.5736721362508772</v>
      </c>
      <c r="R28" s="650">
        <v>0.5553336659970292</v>
      </c>
      <c r="S28" s="650">
        <v>0.525454142920382</v>
      </c>
      <c r="T28" s="650">
        <v>0.4805320484307593</v>
      </c>
      <c r="U28" s="565">
        <v>135.855707</v>
      </c>
      <c r="V28" s="627">
        <v>1.0425993611606401</v>
      </c>
      <c r="W28" s="627">
        <v>0.9680331863881423</v>
      </c>
      <c r="X28" s="627">
        <v>0.9461953688274914</v>
      </c>
      <c r="Y28" s="627">
        <v>0.9145080591810476</v>
      </c>
      <c r="Z28" s="627">
        <v>0.8733253282708261</v>
      </c>
      <c r="AA28" s="627"/>
      <c r="AB28" s="630">
        <v>-0.03329489073361003</v>
      </c>
    </row>
    <row r="29" spans="1:28" ht="9" customHeight="1">
      <c r="A29" s="625"/>
      <c r="B29" s="626"/>
      <c r="C29" s="650"/>
      <c r="D29" s="650"/>
      <c r="G29" s="651"/>
      <c r="H29" s="627"/>
      <c r="I29" s="627"/>
      <c r="J29" s="627"/>
      <c r="K29" s="627"/>
      <c r="L29" s="627"/>
      <c r="M29" s="627"/>
      <c r="N29" s="630"/>
      <c r="P29" s="626"/>
      <c r="Q29" s="627"/>
      <c r="R29" s="650"/>
      <c r="S29" s="650"/>
      <c r="T29" s="650"/>
      <c r="U29" s="565"/>
      <c r="V29" s="627"/>
      <c r="W29" s="627"/>
      <c r="X29" s="627"/>
      <c r="Y29" s="627"/>
      <c r="Z29" s="627"/>
      <c r="AA29" s="627"/>
      <c r="AB29" s="630"/>
    </row>
    <row r="30" spans="1:28" ht="12.75">
      <c r="A30" s="625" t="s">
        <v>21</v>
      </c>
      <c r="B30" s="626">
        <v>0.5833521697867428</v>
      </c>
      <c r="C30" s="650">
        <v>0.5956762345651825</v>
      </c>
      <c r="D30" s="650">
        <v>0.5780035275108235</v>
      </c>
      <c r="E30" s="627">
        <v>0.513557737858938</v>
      </c>
      <c r="F30" s="627">
        <v>0.5285544066570308</v>
      </c>
      <c r="G30" s="651">
        <v>153.165615</v>
      </c>
      <c r="H30" s="627">
        <v>1.021126286001379</v>
      </c>
      <c r="I30" s="627">
        <v>0.9703316902221905</v>
      </c>
      <c r="J30" s="627">
        <v>0.8885027744909763</v>
      </c>
      <c r="K30" s="627">
        <v>1.029201524371174</v>
      </c>
      <c r="L30" s="627">
        <v>0.9060640107848669</v>
      </c>
      <c r="M30" s="627"/>
      <c r="N30" s="630">
        <v>-0.02435972464289493</v>
      </c>
      <c r="P30" s="626">
        <v>0.5445826363595149</v>
      </c>
      <c r="Q30" s="627">
        <v>0.602476095360834</v>
      </c>
      <c r="R30" s="650">
        <v>0.5900488494763024</v>
      </c>
      <c r="S30" s="650">
        <v>0.5289252196044506</v>
      </c>
      <c r="T30" s="650">
        <v>0.4760042629054771</v>
      </c>
      <c r="U30" s="565">
        <v>97.437733</v>
      </c>
      <c r="V30" s="627">
        <v>1.106307941414239</v>
      </c>
      <c r="W30" s="627">
        <v>0.9793730473620058</v>
      </c>
      <c r="X30" s="627">
        <v>0.8964092042106309</v>
      </c>
      <c r="Y30" s="627">
        <v>0.8999462405317906</v>
      </c>
      <c r="Z30" s="627">
        <v>0.8740716855893939</v>
      </c>
      <c r="AA30" s="627"/>
      <c r="AB30" s="630">
        <v>-0.033088416612288896</v>
      </c>
    </row>
    <row r="31" spans="1:28" ht="9" customHeight="1">
      <c r="A31" s="625"/>
      <c r="B31" s="626"/>
      <c r="C31" s="650"/>
      <c r="D31" s="650"/>
      <c r="E31" s="627"/>
      <c r="F31" s="627"/>
      <c r="G31" s="651"/>
      <c r="H31" s="627"/>
      <c r="I31" s="627"/>
      <c r="J31" s="627"/>
      <c r="K31" s="627"/>
      <c r="L31" s="627"/>
      <c r="M31" s="627"/>
      <c r="N31" s="630"/>
      <c r="P31" s="626"/>
      <c r="Q31" s="627"/>
      <c r="R31" s="650"/>
      <c r="S31" s="650"/>
      <c r="T31" s="650"/>
      <c r="U31" s="565"/>
      <c r="V31" s="627"/>
      <c r="W31" s="627"/>
      <c r="X31" s="627"/>
      <c r="Y31" s="627"/>
      <c r="Z31" s="627"/>
      <c r="AA31" s="627"/>
      <c r="AB31" s="630"/>
    </row>
    <row r="32" spans="1:28" ht="12.75">
      <c r="A32" s="625" t="s">
        <v>22</v>
      </c>
      <c r="B32" s="626">
        <v>0.6169088253439317</v>
      </c>
      <c r="C32" s="650">
        <v>0.7176852748581645</v>
      </c>
      <c r="D32" s="650">
        <v>0.6145965761844432</v>
      </c>
      <c r="E32" s="627">
        <v>0.7445150750902786</v>
      </c>
      <c r="F32" s="627">
        <v>0.7755661523790549</v>
      </c>
      <c r="G32" s="651">
        <v>213.326732</v>
      </c>
      <c r="H32" s="627">
        <v>1.1633571208161095</v>
      </c>
      <c r="I32" s="627">
        <v>0.856359462448084</v>
      </c>
      <c r="J32" s="627">
        <v>1.2113882568503704</v>
      </c>
      <c r="K32" s="627">
        <v>1.0417064453463365</v>
      </c>
      <c r="L32" s="627">
        <v>1.2571811595443954</v>
      </c>
      <c r="M32" s="627"/>
      <c r="N32" s="630">
        <v>0.058886633051491444</v>
      </c>
      <c r="P32" s="626">
        <v>0.6093497772403608</v>
      </c>
      <c r="Q32" s="627">
        <v>0.6523915240117156</v>
      </c>
      <c r="R32" s="650">
        <v>0.6327198316708984</v>
      </c>
      <c r="S32" s="650">
        <v>0.7709414583807359</v>
      </c>
      <c r="T32" s="650">
        <v>0.7283210683898704</v>
      </c>
      <c r="U32" s="565">
        <v>138.74068</v>
      </c>
      <c r="V32" s="627">
        <v>1.0706355337755</v>
      </c>
      <c r="W32" s="627">
        <v>0.9698467996336753</v>
      </c>
      <c r="X32" s="627">
        <v>1.2184562894841138</v>
      </c>
      <c r="Y32" s="627">
        <v>0.9447164378986905</v>
      </c>
      <c r="Z32" s="627">
        <v>1.1952430206642726</v>
      </c>
      <c r="AA32" s="627"/>
      <c r="AB32" s="630">
        <v>0.04559633935265617</v>
      </c>
    </row>
    <row r="33" spans="1:28" ht="9" customHeight="1">
      <c r="A33" s="625"/>
      <c r="B33" s="626"/>
      <c r="C33" s="650"/>
      <c r="D33" s="650"/>
      <c r="G33" s="651"/>
      <c r="H33" s="627"/>
      <c r="I33" s="627"/>
      <c r="J33" s="627"/>
      <c r="K33" s="627"/>
      <c r="L33" s="627"/>
      <c r="M33" s="627"/>
      <c r="N33" s="630"/>
      <c r="P33" s="626"/>
      <c r="Q33" s="627"/>
      <c r="R33" s="650"/>
      <c r="S33" s="650"/>
      <c r="T33" s="650"/>
      <c r="U33" s="565"/>
      <c r="V33" s="627"/>
      <c r="W33" s="627"/>
      <c r="X33" s="627"/>
      <c r="Y33" s="627"/>
      <c r="Z33" s="627"/>
      <c r="AA33" s="627"/>
      <c r="AB33" s="630"/>
    </row>
    <row r="34" spans="1:28" ht="12.75">
      <c r="A34" s="631" t="s">
        <v>96</v>
      </c>
      <c r="B34" s="632">
        <v>0.8895680874198181</v>
      </c>
      <c r="C34" s="652">
        <v>0.7668404475021424</v>
      </c>
      <c r="D34" s="652">
        <v>0.7523296420703394</v>
      </c>
      <c r="E34" s="633">
        <v>0.8442909548136407</v>
      </c>
      <c r="F34" s="633">
        <v>0.9012775910170572</v>
      </c>
      <c r="G34" s="653">
        <v>311.33398</v>
      </c>
      <c r="H34" s="633">
        <v>0.8620368225285084</v>
      </c>
      <c r="I34" s="633">
        <v>0.981077151734667</v>
      </c>
      <c r="J34" s="633">
        <v>1.1222353973588393</v>
      </c>
      <c r="K34" s="633">
        <v>1.0674964428773195</v>
      </c>
      <c r="L34" s="633">
        <v>1.0131631336182512</v>
      </c>
      <c r="M34" s="633"/>
      <c r="N34" s="635">
        <v>0.003274663132286193</v>
      </c>
      <c r="P34" s="632">
        <v>0.9123493611040162</v>
      </c>
      <c r="Q34" s="633">
        <v>0.7317059103046895</v>
      </c>
      <c r="R34" s="652">
        <v>0.8051551757450796</v>
      </c>
      <c r="S34" s="652">
        <v>0.8425337430807812</v>
      </c>
      <c r="T34" s="652">
        <v>0.9728012306367433</v>
      </c>
      <c r="U34" s="654">
        <v>222.364978</v>
      </c>
      <c r="V34" s="633">
        <v>0.8020018882013206</v>
      </c>
      <c r="W34" s="633">
        <v>1.1003808557591193</v>
      </c>
      <c r="X34" s="633">
        <v>1.0464240539733376</v>
      </c>
      <c r="Y34" s="633">
        <v>1.1546139708062377</v>
      </c>
      <c r="Z34" s="633">
        <v>1.0662595625206286</v>
      </c>
      <c r="AA34" s="633"/>
      <c r="AB34" s="635">
        <v>0.01616851542085862</v>
      </c>
    </row>
    <row r="35" spans="1:28" ht="4.5" customHeight="1">
      <c r="A35" s="625"/>
      <c r="B35" s="626"/>
      <c r="C35" s="650"/>
      <c r="D35" s="650"/>
      <c r="E35" s="627"/>
      <c r="F35" s="627"/>
      <c r="G35" s="650"/>
      <c r="H35" s="627"/>
      <c r="I35" s="627"/>
      <c r="J35" s="627"/>
      <c r="K35" s="627"/>
      <c r="L35" s="627"/>
      <c r="M35" s="627"/>
      <c r="N35" s="630"/>
      <c r="P35" s="626"/>
      <c r="Q35" s="627"/>
      <c r="R35" s="650"/>
      <c r="S35" s="650"/>
      <c r="T35" s="650"/>
      <c r="U35" s="565"/>
      <c r="V35" s="627"/>
      <c r="W35" s="627"/>
      <c r="X35" s="627"/>
      <c r="Y35" s="627"/>
      <c r="Z35" s="627"/>
      <c r="AA35" s="627"/>
      <c r="AB35" s="630"/>
    </row>
    <row r="36" spans="1:28" ht="13.5" thickBot="1">
      <c r="A36" s="637" t="s">
        <v>84</v>
      </c>
      <c r="B36" s="642">
        <v>0.6606910154134176</v>
      </c>
      <c r="C36" s="655">
        <v>0.6427604186875334</v>
      </c>
      <c r="D36" s="655">
        <v>0.6133717704957411</v>
      </c>
      <c r="E36" s="639">
        <v>0.6397531189044074</v>
      </c>
      <c r="F36" s="639">
        <v>0.652876926927915</v>
      </c>
      <c r="G36" s="656">
        <v>1123.807104</v>
      </c>
      <c r="H36" s="639">
        <v>0.9728608437112402</v>
      </c>
      <c r="I36" s="639">
        <v>0.9542774456277167</v>
      </c>
      <c r="J36" s="639">
        <v>1.043010372628242</v>
      </c>
      <c r="K36" s="639">
        <v>1.0205138632946134</v>
      </c>
      <c r="L36" s="639">
        <v>0.9881728549303594</v>
      </c>
      <c r="M36" s="639"/>
      <c r="N36" s="641">
        <v>-0.002969991362053559</v>
      </c>
      <c r="P36" s="638">
        <v>0.6545608644253774</v>
      </c>
      <c r="Q36" s="643">
        <v>0.6300702292855511</v>
      </c>
      <c r="R36" s="655">
        <v>0.6406345595883574</v>
      </c>
      <c r="S36" s="655">
        <v>0.63581506883717</v>
      </c>
      <c r="T36" s="655">
        <v>0.6456362487332784</v>
      </c>
      <c r="U36" s="656">
        <v>772.438386</v>
      </c>
      <c r="V36" s="639">
        <v>0.9625846327349161</v>
      </c>
      <c r="W36" s="639">
        <v>1.0167669091662772</v>
      </c>
      <c r="X36" s="639">
        <v>0.9924770047462251</v>
      </c>
      <c r="Y36" s="639">
        <v>1.0154465981972876</v>
      </c>
      <c r="Z36" s="639">
        <v>0.9863654914658949</v>
      </c>
      <c r="AA36" s="639"/>
      <c r="AB36" s="641">
        <v>-0.003426195168509727</v>
      </c>
    </row>
    <row r="37" ht="13.5" thickTop="1"/>
    <row r="38" spans="5:24" ht="15.75">
      <c r="E38" s="732" t="s">
        <v>136</v>
      </c>
      <c r="F38" s="732"/>
      <c r="G38" s="732"/>
      <c r="H38" s="732"/>
      <c r="I38" s="732"/>
      <c r="J38" s="732"/>
      <c r="K38" s="732"/>
      <c r="L38" s="732"/>
      <c r="M38" s="732"/>
      <c r="N38" s="732"/>
      <c r="O38" s="732"/>
      <c r="P38" s="732"/>
      <c r="Q38" s="732"/>
      <c r="R38" s="732"/>
      <c r="S38" s="732"/>
      <c r="T38" s="732"/>
      <c r="U38" s="732"/>
      <c r="V38" s="732"/>
      <c r="W38" s="732"/>
      <c r="X38" s="732"/>
    </row>
    <row r="39" spans="1:28" ht="15">
      <c r="A39" s="616"/>
      <c r="B39" s="729" t="s">
        <v>268</v>
      </c>
      <c r="C39" s="729"/>
      <c r="D39" s="729"/>
      <c r="E39" s="729"/>
      <c r="F39" s="729"/>
      <c r="G39" s="729"/>
      <c r="H39" s="729"/>
      <c r="I39" s="729"/>
      <c r="J39" s="729"/>
      <c r="K39" s="729"/>
      <c r="L39" s="729"/>
      <c r="M39" s="729"/>
      <c r="N39" s="729"/>
      <c r="O39" s="616"/>
      <c r="P39" s="729" t="s">
        <v>269</v>
      </c>
      <c r="Q39" s="729"/>
      <c r="R39" s="729"/>
      <c r="S39" s="729"/>
      <c r="T39" s="729"/>
      <c r="U39" s="729"/>
      <c r="V39" s="729"/>
      <c r="W39" s="729"/>
      <c r="X39" s="729"/>
      <c r="Y39" s="729"/>
      <c r="Z39" s="729"/>
      <c r="AA39" s="729"/>
      <c r="AB39" s="729"/>
    </row>
    <row r="40" spans="1:28" ht="27">
      <c r="A40" s="617"/>
      <c r="B40" s="730" t="s">
        <v>81</v>
      </c>
      <c r="C40" s="726"/>
      <c r="D40" s="726"/>
      <c r="E40" s="726"/>
      <c r="F40" s="726"/>
      <c r="G40" s="618" t="s">
        <v>128</v>
      </c>
      <c r="H40" s="726" t="s">
        <v>143</v>
      </c>
      <c r="I40" s="726"/>
      <c r="J40" s="726"/>
      <c r="K40" s="726"/>
      <c r="L40" s="726"/>
      <c r="M40" s="618"/>
      <c r="N40" s="619" t="s">
        <v>265</v>
      </c>
      <c r="P40" s="730" t="s">
        <v>81</v>
      </c>
      <c r="Q40" s="726"/>
      <c r="R40" s="726"/>
      <c r="S40" s="726"/>
      <c r="T40" s="726"/>
      <c r="U40" s="618" t="s">
        <v>128</v>
      </c>
      <c r="V40" s="726" t="s">
        <v>143</v>
      </c>
      <c r="W40" s="726"/>
      <c r="X40" s="726"/>
      <c r="Y40" s="726"/>
      <c r="Z40" s="726"/>
      <c r="AA40" s="618"/>
      <c r="AB40" s="619" t="s">
        <v>265</v>
      </c>
    </row>
    <row r="41" spans="1:28" ht="12.75">
      <c r="A41" s="609" t="s">
        <v>11</v>
      </c>
      <c r="B41" s="620">
        <v>2003</v>
      </c>
      <c r="C41" s="621">
        <v>2004</v>
      </c>
      <c r="D41" s="621">
        <v>2005</v>
      </c>
      <c r="E41" s="621">
        <v>2006</v>
      </c>
      <c r="F41" s="621">
        <v>2007</v>
      </c>
      <c r="G41" s="621">
        <v>2007</v>
      </c>
      <c r="H41" s="622" t="s">
        <v>89</v>
      </c>
      <c r="I41" s="623" t="s">
        <v>90</v>
      </c>
      <c r="J41" s="623" t="s">
        <v>91</v>
      </c>
      <c r="K41" s="623" t="s">
        <v>92</v>
      </c>
      <c r="L41" s="623" t="s">
        <v>93</v>
      </c>
      <c r="M41" s="623"/>
      <c r="N41" s="624" t="s">
        <v>93</v>
      </c>
      <c r="P41" s="620">
        <v>2003</v>
      </c>
      <c r="Q41" s="621">
        <v>2004</v>
      </c>
      <c r="R41" s="621">
        <v>2005</v>
      </c>
      <c r="S41" s="621">
        <v>2006</v>
      </c>
      <c r="T41" s="621">
        <v>2007</v>
      </c>
      <c r="U41" s="621">
        <v>2007</v>
      </c>
      <c r="V41" s="622" t="s">
        <v>89</v>
      </c>
      <c r="W41" s="623" t="s">
        <v>90</v>
      </c>
      <c r="X41" s="623" t="s">
        <v>91</v>
      </c>
      <c r="Y41" s="623" t="s">
        <v>92</v>
      </c>
      <c r="Z41" s="623" t="s">
        <v>93</v>
      </c>
      <c r="AA41" s="623"/>
      <c r="AB41" s="624" t="s">
        <v>93</v>
      </c>
    </row>
    <row r="42" spans="1:42" ht="12.75">
      <c r="A42" s="625" t="s">
        <v>95</v>
      </c>
      <c r="B42" s="626">
        <v>0.800961617749809</v>
      </c>
      <c r="C42" s="650">
        <v>0.7705590759884772</v>
      </c>
      <c r="D42" s="650">
        <v>0.7371241925785403</v>
      </c>
      <c r="E42" s="627">
        <v>0.6998545414032159</v>
      </c>
      <c r="F42" s="627">
        <v>0.6855824222752879</v>
      </c>
      <c r="G42" s="571">
        <v>2253</v>
      </c>
      <c r="H42" s="564">
        <f>+C42/B42</f>
        <v>0.9620424486172714</v>
      </c>
      <c r="I42" s="564">
        <f>+D42/C42</f>
        <v>0.9566095780949093</v>
      </c>
      <c r="J42" s="564">
        <f>+E42/D42</f>
        <v>0.9494391154834423</v>
      </c>
      <c r="K42" s="564">
        <f>+F42/E42</f>
        <v>0.9796070207684696</v>
      </c>
      <c r="L42" s="564">
        <f>+B42</f>
        <v>0.800961617749809</v>
      </c>
      <c r="M42" s="627"/>
      <c r="N42" s="628">
        <v>-0.03813971704358188</v>
      </c>
      <c r="O42" s="629"/>
      <c r="P42" s="626">
        <v>0.7874216997463837</v>
      </c>
      <c r="Q42" s="627">
        <v>0.7505425050581408</v>
      </c>
      <c r="R42" s="627">
        <v>0.7368632386735948</v>
      </c>
      <c r="S42" s="627">
        <v>0.6926951687764402</v>
      </c>
      <c r="T42" s="627">
        <v>0.6740225110704315</v>
      </c>
      <c r="U42" s="571">
        <v>1862</v>
      </c>
      <c r="V42" s="627">
        <v>0.9531646197963288</v>
      </c>
      <c r="W42" s="627">
        <v>0.9817741616332758</v>
      </c>
      <c r="X42" s="627">
        <v>0.9400593385868181</v>
      </c>
      <c r="Y42" s="627">
        <v>0.97304347056586</v>
      </c>
      <c r="Z42" s="627">
        <v>0.8559867111708044</v>
      </c>
      <c r="AA42" s="627"/>
      <c r="AB42" s="630">
        <v>-0.038129167251431006</v>
      </c>
      <c r="AE42" s="629"/>
      <c r="AF42" s="629"/>
      <c r="AG42" s="629"/>
      <c r="AH42" s="629"/>
      <c r="AI42" s="629"/>
      <c r="AK42" s="670"/>
      <c r="AL42" s="670"/>
      <c r="AM42" s="670"/>
      <c r="AN42" s="670"/>
      <c r="AO42" s="670"/>
      <c r="AP42" s="670"/>
    </row>
    <row r="43" spans="1:42" ht="12.75">
      <c r="A43" s="625"/>
      <c r="B43" s="626"/>
      <c r="C43" s="650"/>
      <c r="D43" s="650"/>
      <c r="E43" s="627"/>
      <c r="F43" s="627"/>
      <c r="G43" s="571"/>
      <c r="H43" s="627"/>
      <c r="I43" s="627"/>
      <c r="J43" s="627"/>
      <c r="K43" s="627"/>
      <c r="L43" s="627"/>
      <c r="M43" s="627"/>
      <c r="N43" s="628"/>
      <c r="O43" s="629"/>
      <c r="P43" s="657"/>
      <c r="Q43" s="629"/>
      <c r="R43" s="629"/>
      <c r="S43" s="629"/>
      <c r="T43" s="629"/>
      <c r="U43" s="572"/>
      <c r="V43" s="627"/>
      <c r="W43" s="627"/>
      <c r="X43" s="627"/>
      <c r="Y43" s="627"/>
      <c r="Z43" s="627"/>
      <c r="AA43" s="627"/>
      <c r="AB43" s="630"/>
      <c r="AE43" s="629"/>
      <c r="AF43" s="629"/>
      <c r="AG43" s="629"/>
      <c r="AH43" s="629"/>
      <c r="AI43" s="629"/>
      <c r="AK43" s="670"/>
      <c r="AL43" s="670"/>
      <c r="AM43" s="670"/>
      <c r="AN43" s="670"/>
      <c r="AO43" s="670"/>
      <c r="AP43" s="670"/>
    </row>
    <row r="44" spans="1:42" ht="12.75">
      <c r="A44" s="625" t="s">
        <v>20</v>
      </c>
      <c r="B44" s="626">
        <v>0.7331599803215425</v>
      </c>
      <c r="C44" s="650">
        <v>0.6866071618187352</v>
      </c>
      <c r="D44" s="650">
        <v>0.6520415988391757</v>
      </c>
      <c r="E44" s="627">
        <v>0.6558740480180606</v>
      </c>
      <c r="F44" s="627">
        <v>0.6225883022356204</v>
      </c>
      <c r="G44" s="571">
        <v>2755</v>
      </c>
      <c r="H44" s="627">
        <f>+C44/B44</f>
        <v>0.9365038739806957</v>
      </c>
      <c r="I44" s="627">
        <f>+D44/C44</f>
        <v>0.9496574389232998</v>
      </c>
      <c r="J44" s="627">
        <f>+E44/D44</f>
        <v>1.0058776145351889</v>
      </c>
      <c r="K44" s="627">
        <f>+F44/E44</f>
        <v>0.9492497898292759</v>
      </c>
      <c r="L44" s="627">
        <f>+B44</f>
        <v>0.7331599803215425</v>
      </c>
      <c r="M44" s="627"/>
      <c r="N44" s="630">
        <v>-0.0400457152927961</v>
      </c>
      <c r="O44" s="629"/>
      <c r="P44" s="626">
        <v>0.7259249390873637</v>
      </c>
      <c r="Q44" s="627">
        <v>0.6815061469609243</v>
      </c>
      <c r="R44" s="627">
        <v>0.6457079423072911</v>
      </c>
      <c r="S44" s="627">
        <v>0.6292784925048824</v>
      </c>
      <c r="T44" s="627">
        <v>0.6062194388876444</v>
      </c>
      <c r="U44" s="572">
        <v>2226</v>
      </c>
      <c r="V44" s="627">
        <v>0.938810764399026</v>
      </c>
      <c r="W44" s="627">
        <v>0.9474719269763451</v>
      </c>
      <c r="X44" s="627">
        <v>0.9745559118512593</v>
      </c>
      <c r="Y44" s="627">
        <v>0.9633563614649374</v>
      </c>
      <c r="Z44" s="627">
        <v>0.8350993418820772</v>
      </c>
      <c r="AA44" s="627"/>
      <c r="AB44" s="630">
        <v>-0.04405141353334163</v>
      </c>
      <c r="AE44" s="629"/>
      <c r="AF44" s="629"/>
      <c r="AG44" s="629"/>
      <c r="AH44" s="629"/>
      <c r="AI44" s="629"/>
      <c r="AK44" s="670"/>
      <c r="AL44" s="670"/>
      <c r="AM44" s="670"/>
      <c r="AN44" s="670"/>
      <c r="AO44" s="670"/>
      <c r="AP44" s="670"/>
    </row>
    <row r="45" spans="1:42" ht="12.75">
      <c r="A45" s="625"/>
      <c r="B45" s="626"/>
      <c r="C45" s="650"/>
      <c r="D45" s="650"/>
      <c r="E45" s="627"/>
      <c r="F45" s="627"/>
      <c r="G45" s="571"/>
      <c r="H45" s="627"/>
      <c r="I45" s="627"/>
      <c r="J45" s="627"/>
      <c r="K45" s="627"/>
      <c r="L45" s="627"/>
      <c r="M45" s="627"/>
      <c r="N45" s="630"/>
      <c r="O45" s="629"/>
      <c r="P45" s="657"/>
      <c r="Q45" s="629"/>
      <c r="R45" s="629"/>
      <c r="S45" s="629"/>
      <c r="T45" s="629"/>
      <c r="U45" s="572"/>
      <c r="V45" s="627"/>
      <c r="W45" s="627"/>
      <c r="X45" s="627"/>
      <c r="Y45" s="627"/>
      <c r="Z45" s="627"/>
      <c r="AA45" s="627"/>
      <c r="AB45" s="630"/>
      <c r="AE45" s="629"/>
      <c r="AF45" s="629"/>
      <c r="AG45" s="629"/>
      <c r="AH45" s="629"/>
      <c r="AI45" s="629"/>
      <c r="AK45" s="670"/>
      <c r="AL45" s="670"/>
      <c r="AM45" s="670"/>
      <c r="AN45" s="670"/>
      <c r="AO45" s="670"/>
      <c r="AP45" s="670"/>
    </row>
    <row r="46" spans="1:42" ht="12.75">
      <c r="A46" s="625" t="s">
        <v>21</v>
      </c>
      <c r="B46" s="626">
        <v>0.7547477297777182</v>
      </c>
      <c r="C46" s="650">
        <v>0.7348063357049452</v>
      </c>
      <c r="D46" s="650">
        <v>0.7108402807600531</v>
      </c>
      <c r="E46" s="627">
        <v>0.7249269873816483</v>
      </c>
      <c r="F46" s="627">
        <v>0.6992233297691947</v>
      </c>
      <c r="G46" s="571">
        <v>4747</v>
      </c>
      <c r="H46" s="627">
        <f>+C46/B46</f>
        <v>0.97357872930781</v>
      </c>
      <c r="I46" s="627">
        <f>+D46/C46</f>
        <v>0.9673845287113645</v>
      </c>
      <c r="J46" s="627">
        <f>+E46/D46</f>
        <v>1.0198169785855877</v>
      </c>
      <c r="K46" s="627">
        <f>+F46/E46</f>
        <v>0.9645431083959334</v>
      </c>
      <c r="L46" s="627">
        <f>+B46</f>
        <v>0.7547477297777182</v>
      </c>
      <c r="M46" s="627"/>
      <c r="N46" s="630">
        <v>-0.01892203017139449</v>
      </c>
      <c r="O46" s="629"/>
      <c r="P46" s="626">
        <v>0.7539655848395289</v>
      </c>
      <c r="Q46" s="627">
        <v>0.7361691906568187</v>
      </c>
      <c r="R46" s="627">
        <v>0.7179561436852026</v>
      </c>
      <c r="S46" s="627">
        <v>0.7116760210147439</v>
      </c>
      <c r="T46" s="627">
        <v>0.6927553078145876</v>
      </c>
      <c r="U46" s="572">
        <v>4021</v>
      </c>
      <c r="V46" s="627">
        <v>0.9763962778400583</v>
      </c>
      <c r="W46" s="627">
        <v>0.9752596995327035</v>
      </c>
      <c r="X46" s="627">
        <v>0.9912527767528762</v>
      </c>
      <c r="Y46" s="627">
        <v>0.9734138672071905</v>
      </c>
      <c r="Z46" s="627">
        <v>0.918815555702096</v>
      </c>
      <c r="AA46" s="627"/>
      <c r="AB46" s="630">
        <v>-0.020945010974713463</v>
      </c>
      <c r="AE46" s="629"/>
      <c r="AF46" s="629"/>
      <c r="AG46" s="629"/>
      <c r="AH46" s="629"/>
      <c r="AI46" s="629"/>
      <c r="AK46" s="670"/>
      <c r="AL46" s="670"/>
      <c r="AM46" s="670"/>
      <c r="AN46" s="670"/>
      <c r="AO46" s="670"/>
      <c r="AP46" s="670"/>
    </row>
    <row r="47" spans="1:42" ht="12.75">
      <c r="A47" s="625"/>
      <c r="B47" s="626"/>
      <c r="C47" s="650"/>
      <c r="D47" s="650"/>
      <c r="E47" s="627"/>
      <c r="F47" s="627"/>
      <c r="G47" s="571"/>
      <c r="H47" s="627"/>
      <c r="I47" s="627"/>
      <c r="J47" s="627"/>
      <c r="K47" s="627"/>
      <c r="L47" s="627"/>
      <c r="M47" s="627"/>
      <c r="N47" s="630"/>
      <c r="O47" s="629"/>
      <c r="P47" s="657"/>
      <c r="Q47" s="629"/>
      <c r="R47" s="629"/>
      <c r="S47" s="629"/>
      <c r="T47" s="629"/>
      <c r="U47" s="572"/>
      <c r="V47" s="627"/>
      <c r="W47" s="627"/>
      <c r="X47" s="627"/>
      <c r="Y47" s="627"/>
      <c r="Z47" s="627"/>
      <c r="AA47" s="627"/>
      <c r="AB47" s="630"/>
      <c r="AE47" s="629"/>
      <c r="AF47" s="629"/>
      <c r="AG47" s="629"/>
      <c r="AH47" s="629"/>
      <c r="AI47" s="629"/>
      <c r="AK47" s="670"/>
      <c r="AL47" s="670"/>
      <c r="AM47" s="670"/>
      <c r="AN47" s="670"/>
      <c r="AO47" s="670"/>
      <c r="AP47" s="670"/>
    </row>
    <row r="48" spans="1:42" ht="12.75">
      <c r="A48" s="625" t="s">
        <v>22</v>
      </c>
      <c r="B48" s="626">
        <v>0.8676709046907184</v>
      </c>
      <c r="C48" s="650">
        <v>0.8524827712285484</v>
      </c>
      <c r="D48" s="650">
        <v>0.8229937030507699</v>
      </c>
      <c r="E48" s="627">
        <v>0.8367073448731139</v>
      </c>
      <c r="F48" s="627">
        <v>0.8349188022048135</v>
      </c>
      <c r="G48" s="571">
        <v>7181</v>
      </c>
      <c r="H48" s="627">
        <f>+C48/B48</f>
        <v>0.9824955137021867</v>
      </c>
      <c r="I48" s="627">
        <f>+D48/C48</f>
        <v>0.965408018586369</v>
      </c>
      <c r="J48" s="627">
        <f>+E48/D48</f>
        <v>1.016663118771758</v>
      </c>
      <c r="K48" s="627">
        <f>+F48/E48</f>
        <v>0.9978624035282353</v>
      </c>
      <c r="L48" s="627">
        <f>+B48</f>
        <v>0.8676709046907184</v>
      </c>
      <c r="M48" s="627"/>
      <c r="N48" s="630">
        <v>-0.009573386417155327</v>
      </c>
      <c r="O48" s="629"/>
      <c r="P48" s="626">
        <v>0.8697221956528808</v>
      </c>
      <c r="Q48" s="627">
        <v>0.8494010527826735</v>
      </c>
      <c r="R48" s="627">
        <v>0.8302194310977227</v>
      </c>
      <c r="S48" s="627">
        <v>0.8251900892476883</v>
      </c>
      <c r="T48" s="627">
        <v>0.8311674783611046</v>
      </c>
      <c r="U48" s="572">
        <v>6197</v>
      </c>
      <c r="V48" s="627">
        <v>0.9766349036832932</v>
      </c>
      <c r="W48" s="627">
        <v>0.977417473616131</v>
      </c>
      <c r="X48" s="627">
        <v>0.9939421535299595</v>
      </c>
      <c r="Y48" s="627">
        <v>1.0072436511190601</v>
      </c>
      <c r="Z48" s="627">
        <v>0.9556700777737034</v>
      </c>
      <c r="AA48" s="627"/>
      <c r="AB48" s="630">
        <v>-0.011271626895910769</v>
      </c>
      <c r="AE48" s="629"/>
      <c r="AF48" s="629"/>
      <c r="AG48" s="629"/>
      <c r="AH48" s="629"/>
      <c r="AI48" s="629"/>
      <c r="AK48" s="670"/>
      <c r="AL48" s="670"/>
      <c r="AM48" s="670"/>
      <c r="AN48" s="670"/>
      <c r="AO48" s="670"/>
      <c r="AP48" s="670"/>
    </row>
    <row r="49" spans="1:42" ht="12.75">
      <c r="A49" s="625"/>
      <c r="B49" s="626"/>
      <c r="C49" s="650"/>
      <c r="D49" s="650"/>
      <c r="E49" s="627"/>
      <c r="F49" s="627"/>
      <c r="G49" s="571"/>
      <c r="H49" s="627"/>
      <c r="I49" s="627"/>
      <c r="J49" s="627"/>
      <c r="K49" s="627"/>
      <c r="L49" s="627"/>
      <c r="M49" s="627"/>
      <c r="N49" s="630"/>
      <c r="O49" s="629"/>
      <c r="P49" s="626"/>
      <c r="Q49" s="627"/>
      <c r="R49" s="627"/>
      <c r="S49" s="627"/>
      <c r="T49" s="627"/>
      <c r="U49" s="572"/>
      <c r="V49" s="627"/>
      <c r="W49" s="627"/>
      <c r="X49" s="627"/>
      <c r="Y49" s="627"/>
      <c r="Z49" s="627"/>
      <c r="AA49" s="627"/>
      <c r="AB49" s="630"/>
      <c r="AE49" s="629"/>
      <c r="AF49" s="629"/>
      <c r="AG49" s="629"/>
      <c r="AH49" s="629"/>
      <c r="AI49" s="629"/>
      <c r="AK49" s="670"/>
      <c r="AL49" s="670"/>
      <c r="AM49" s="670"/>
      <c r="AN49" s="670"/>
      <c r="AO49" s="670"/>
      <c r="AP49" s="670"/>
    </row>
    <row r="50" spans="1:42" ht="12.75">
      <c r="A50" s="631" t="s">
        <v>96</v>
      </c>
      <c r="B50" s="632">
        <v>1.0479707383669492</v>
      </c>
      <c r="C50" s="652">
        <v>1.021542527313339</v>
      </c>
      <c r="D50" s="652">
        <v>0.9909581354792156</v>
      </c>
      <c r="E50" s="633">
        <v>0.989822650245571</v>
      </c>
      <c r="F50" s="633">
        <v>0.9521615406999083</v>
      </c>
      <c r="G50" s="634">
        <v>3265</v>
      </c>
      <c r="H50" s="633">
        <f>+C50/B50</f>
        <v>0.9747815372261316</v>
      </c>
      <c r="I50" s="633">
        <f>+D50/C50</f>
        <v>0.9700605789613475</v>
      </c>
      <c r="J50" s="633">
        <f>+E50/D50</f>
        <v>0.9988541541837229</v>
      </c>
      <c r="K50" s="633">
        <f>+F50/E50</f>
        <v>0.9619516591822594</v>
      </c>
      <c r="L50" s="633">
        <f>+B50</f>
        <v>1.0479707383669492</v>
      </c>
      <c r="M50" s="633"/>
      <c r="N50" s="635">
        <v>-0.023684082782238103</v>
      </c>
      <c r="O50" s="629"/>
      <c r="P50" s="632">
        <v>1.0646021583706464</v>
      </c>
      <c r="Q50" s="633">
        <v>1.0397335592342858</v>
      </c>
      <c r="R50" s="633">
        <v>1.005124256669741</v>
      </c>
      <c r="S50" s="633">
        <v>0.9671814248244112</v>
      </c>
      <c r="T50" s="633">
        <v>0.9457714573736191</v>
      </c>
      <c r="U50" s="636">
        <v>2729</v>
      </c>
      <c r="V50" s="633">
        <v>0.9766404765002341</v>
      </c>
      <c r="W50" s="633">
        <v>0.9667132966353101</v>
      </c>
      <c r="X50" s="633">
        <v>0.9622506057399858</v>
      </c>
      <c r="Y50" s="633">
        <v>0.977863545658273</v>
      </c>
      <c r="Z50" s="633">
        <v>0.8883801802742017</v>
      </c>
      <c r="AA50" s="633"/>
      <c r="AB50" s="635">
        <v>-0.029155409198458826</v>
      </c>
      <c r="AE50" s="629"/>
      <c r="AF50" s="629"/>
      <c r="AG50" s="629"/>
      <c r="AH50" s="629"/>
      <c r="AI50" s="629"/>
      <c r="AK50" s="670"/>
      <c r="AL50" s="670"/>
      <c r="AM50" s="670"/>
      <c r="AN50" s="670"/>
      <c r="AO50" s="670"/>
      <c r="AP50" s="670"/>
    </row>
    <row r="51" spans="1:42" ht="12.75">
      <c r="A51" s="625"/>
      <c r="B51" s="626"/>
      <c r="C51" s="650"/>
      <c r="D51" s="650"/>
      <c r="E51" s="627"/>
      <c r="F51" s="627"/>
      <c r="G51" s="627"/>
      <c r="H51" s="627"/>
      <c r="I51" s="627"/>
      <c r="J51" s="627"/>
      <c r="K51" s="627"/>
      <c r="L51" s="627"/>
      <c r="M51" s="627"/>
      <c r="N51" s="630"/>
      <c r="O51" s="629"/>
      <c r="P51" s="626"/>
      <c r="Q51" s="627"/>
      <c r="R51" s="650"/>
      <c r="S51" s="650"/>
      <c r="T51" s="650"/>
      <c r="U51" s="572"/>
      <c r="V51" s="627"/>
      <c r="W51" s="627"/>
      <c r="X51" s="627"/>
      <c r="Y51" s="627"/>
      <c r="Z51" s="627"/>
      <c r="AA51" s="627"/>
      <c r="AB51" s="630"/>
      <c r="AE51" s="629"/>
      <c r="AF51" s="629"/>
      <c r="AG51" s="629"/>
      <c r="AH51" s="629"/>
      <c r="AI51" s="629"/>
      <c r="AK51" s="670"/>
      <c r="AL51" s="670"/>
      <c r="AM51" s="670"/>
      <c r="AN51" s="670"/>
      <c r="AO51" s="670"/>
      <c r="AP51" s="670"/>
    </row>
    <row r="52" spans="1:42" ht="13.5" thickBot="1">
      <c r="A52" s="637" t="s">
        <v>84</v>
      </c>
      <c r="B52" s="642">
        <v>0.8363229031886216</v>
      </c>
      <c r="C52" s="655">
        <v>0.8102673959111882</v>
      </c>
      <c r="D52" s="655">
        <v>0.7772107374874615</v>
      </c>
      <c r="E52" s="639">
        <v>0.7817723532630906</v>
      </c>
      <c r="F52" s="639">
        <v>0.761435013430374</v>
      </c>
      <c r="G52" s="640">
        <v>20201</v>
      </c>
      <c r="H52" s="639">
        <f>+C52/B52</f>
        <v>0.9688451587561546</v>
      </c>
      <c r="I52" s="639">
        <f>+D52/C52</f>
        <v>0.9592027785018391</v>
      </c>
      <c r="J52" s="639">
        <f>+E52/D52</f>
        <v>1.005869213529365</v>
      </c>
      <c r="K52" s="639">
        <f>+F52/E52</f>
        <v>0.9739855985596968</v>
      </c>
      <c r="L52" s="639">
        <f>+B52</f>
        <v>0.8363229031886216</v>
      </c>
      <c r="M52" s="639"/>
      <c r="N52" s="641">
        <v>-0.023179617174512557</v>
      </c>
      <c r="P52" s="642">
        <v>0.8349578707985723</v>
      </c>
      <c r="Q52" s="643">
        <v>0.8083436572473426</v>
      </c>
      <c r="R52" s="643">
        <v>0.7838212746814769</v>
      </c>
      <c r="S52" s="643">
        <v>0.7662164240595032</v>
      </c>
      <c r="T52" s="643">
        <v>0.7544264316764905</v>
      </c>
      <c r="U52" s="644">
        <v>17035</v>
      </c>
      <c r="V52" s="639">
        <f>Q52/P52</f>
        <v>0.9681250821364492</v>
      </c>
      <c r="W52" s="639">
        <f>R52/Q52</f>
        <v>0.9696634193316096</v>
      </c>
      <c r="X52" s="639">
        <f>S52/R52</f>
        <v>0.977539713209331</v>
      </c>
      <c r="Y52" s="639">
        <f>T52/S52</f>
        <v>0.9846127125276851</v>
      </c>
      <c r="Z52" s="639">
        <f>T52/P52</f>
        <v>0.9035502964418315</v>
      </c>
      <c r="AA52" s="639"/>
      <c r="AB52" s="641">
        <f>((T52/P52)^0.25)-1</f>
        <v>-0.02503711513412543</v>
      </c>
      <c r="AE52" s="629"/>
      <c r="AF52" s="629"/>
      <c r="AG52" s="629"/>
      <c r="AH52" s="629"/>
      <c r="AI52" s="629"/>
      <c r="AK52" s="670"/>
      <c r="AL52" s="670"/>
      <c r="AM52" s="670"/>
      <c r="AN52" s="670"/>
      <c r="AO52" s="670"/>
      <c r="AP52" s="670"/>
    </row>
    <row r="53" spans="1:42" ht="13.5" thickTop="1">
      <c r="A53" s="625"/>
      <c r="B53" s="645"/>
      <c r="C53" s="645"/>
      <c r="D53" s="646"/>
      <c r="E53" s="646"/>
      <c r="F53" s="646"/>
      <c r="G53" s="646"/>
      <c r="H53" s="646"/>
      <c r="I53" s="646"/>
      <c r="J53" s="646"/>
      <c r="K53" s="646"/>
      <c r="L53" s="646"/>
      <c r="M53" s="646"/>
      <c r="N53" s="646"/>
      <c r="P53" s="646"/>
      <c r="Q53" s="646"/>
      <c r="R53" s="646"/>
      <c r="AE53" s="629"/>
      <c r="AF53" s="629"/>
      <c r="AG53" s="629"/>
      <c r="AH53" s="629"/>
      <c r="AK53" s="670"/>
      <c r="AL53" s="670"/>
      <c r="AM53" s="670"/>
      <c r="AN53" s="670"/>
      <c r="AO53" s="670"/>
      <c r="AP53" s="670"/>
    </row>
    <row r="54" spans="1:42" ht="12.75">
      <c r="A54" s="625"/>
      <c r="B54" s="727" t="s">
        <v>259</v>
      </c>
      <c r="C54" s="727"/>
      <c r="D54" s="727"/>
      <c r="E54" s="727"/>
      <c r="F54" s="727"/>
      <c r="G54" s="727"/>
      <c r="H54" s="727"/>
      <c r="I54" s="727"/>
      <c r="J54" s="727"/>
      <c r="K54" s="727"/>
      <c r="L54" s="727"/>
      <c r="M54" s="727"/>
      <c r="N54" s="727"/>
      <c r="P54" s="728" t="s">
        <v>260</v>
      </c>
      <c r="Q54" s="728"/>
      <c r="R54" s="728"/>
      <c r="S54" s="728"/>
      <c r="T54" s="728"/>
      <c r="U54" s="728"/>
      <c r="V54" s="728"/>
      <c r="W54" s="728"/>
      <c r="X54" s="728"/>
      <c r="Y54" s="728"/>
      <c r="Z54" s="728"/>
      <c r="AA54" s="728"/>
      <c r="AB54" s="728"/>
      <c r="AE54" s="629"/>
      <c r="AF54" s="629"/>
      <c r="AG54" s="629"/>
      <c r="AH54" s="629"/>
      <c r="AK54" s="670"/>
      <c r="AL54" s="670"/>
      <c r="AM54" s="670"/>
      <c r="AN54" s="670"/>
      <c r="AO54" s="670"/>
      <c r="AP54" s="670"/>
    </row>
    <row r="55" spans="1:42" ht="27">
      <c r="A55" s="647"/>
      <c r="B55" s="730" t="s">
        <v>81</v>
      </c>
      <c r="C55" s="726"/>
      <c r="D55" s="726"/>
      <c r="E55" s="726"/>
      <c r="F55" s="726"/>
      <c r="G55" s="618" t="s">
        <v>129</v>
      </c>
      <c r="H55" s="726" t="s">
        <v>143</v>
      </c>
      <c r="I55" s="726"/>
      <c r="J55" s="726"/>
      <c r="K55" s="726"/>
      <c r="L55" s="726"/>
      <c r="M55" s="618"/>
      <c r="N55" s="619" t="s">
        <v>265</v>
      </c>
      <c r="O55" s="648"/>
      <c r="P55" s="730" t="s">
        <v>81</v>
      </c>
      <c r="Q55" s="726"/>
      <c r="R55" s="726"/>
      <c r="S55" s="726"/>
      <c r="T55" s="726"/>
      <c r="U55" s="618" t="s">
        <v>129</v>
      </c>
      <c r="V55" s="726" t="s">
        <v>143</v>
      </c>
      <c r="W55" s="726"/>
      <c r="X55" s="726"/>
      <c r="Y55" s="726"/>
      <c r="Z55" s="726"/>
      <c r="AA55" s="618"/>
      <c r="AB55" s="619" t="s">
        <v>265</v>
      </c>
      <c r="AE55" s="629"/>
      <c r="AF55" s="629"/>
      <c r="AG55" s="629"/>
      <c r="AH55" s="629"/>
      <c r="AI55" s="648"/>
      <c r="AK55" s="670"/>
      <c r="AL55" s="670"/>
      <c r="AM55" s="670"/>
      <c r="AN55" s="670"/>
      <c r="AO55" s="670"/>
      <c r="AP55" s="670"/>
    </row>
    <row r="56" spans="1:42" ht="12.75">
      <c r="A56" s="609" t="s">
        <v>11</v>
      </c>
      <c r="B56" s="620">
        <v>2003</v>
      </c>
      <c r="C56" s="621">
        <v>2004</v>
      </c>
      <c r="D56" s="621">
        <v>2005</v>
      </c>
      <c r="E56" s="621">
        <v>2006</v>
      </c>
      <c r="F56" s="621">
        <v>2007</v>
      </c>
      <c r="G56" s="621">
        <v>2007</v>
      </c>
      <c r="H56" s="622" t="s">
        <v>89</v>
      </c>
      <c r="I56" s="623" t="s">
        <v>90</v>
      </c>
      <c r="J56" s="623" t="s">
        <v>91</v>
      </c>
      <c r="K56" s="623" t="s">
        <v>92</v>
      </c>
      <c r="L56" s="623" t="s">
        <v>93</v>
      </c>
      <c r="M56" s="623"/>
      <c r="N56" s="624" t="s">
        <v>93</v>
      </c>
      <c r="O56" s="649"/>
      <c r="P56" s="620">
        <v>2003</v>
      </c>
      <c r="Q56" s="621">
        <v>2004</v>
      </c>
      <c r="R56" s="621">
        <v>2005</v>
      </c>
      <c r="S56" s="621">
        <v>2006</v>
      </c>
      <c r="T56" s="621">
        <v>2007</v>
      </c>
      <c r="U56" s="621">
        <v>2007</v>
      </c>
      <c r="V56" s="622" t="s">
        <v>89</v>
      </c>
      <c r="W56" s="623" t="s">
        <v>90</v>
      </c>
      <c r="X56" s="623" t="s">
        <v>91</v>
      </c>
      <c r="Y56" s="623" t="s">
        <v>92</v>
      </c>
      <c r="Z56" s="623" t="s">
        <v>93</v>
      </c>
      <c r="AA56" s="623"/>
      <c r="AB56" s="624" t="s">
        <v>93</v>
      </c>
      <c r="AE56" s="629"/>
      <c r="AF56" s="629"/>
      <c r="AG56" s="629"/>
      <c r="AH56" s="629"/>
      <c r="AK56" s="670"/>
      <c r="AL56" s="670"/>
      <c r="AM56" s="670"/>
      <c r="AN56" s="670"/>
      <c r="AO56" s="670"/>
      <c r="AP56" s="670"/>
    </row>
    <row r="57" spans="1:42" ht="12.75">
      <c r="A57" s="625" t="s">
        <v>95</v>
      </c>
      <c r="B57" s="626">
        <v>0.7642536615517378</v>
      </c>
      <c r="C57" s="650">
        <v>0.7448216868067898</v>
      </c>
      <c r="D57" s="650">
        <v>0.7043123320009471</v>
      </c>
      <c r="E57" s="627">
        <v>0.6768704128915474</v>
      </c>
      <c r="F57" s="627">
        <v>0.6587019933310857</v>
      </c>
      <c r="G57" s="651">
        <v>85.10249</v>
      </c>
      <c r="H57" s="564">
        <f>+C57/B57</f>
        <v>0.9745739199920962</v>
      </c>
      <c r="I57" s="564">
        <f>+D57/C57</f>
        <v>0.9456120095273877</v>
      </c>
      <c r="J57" s="564">
        <f>+E57/D57</f>
        <v>0.9610372872054683</v>
      </c>
      <c r="K57" s="564">
        <f>+F57/E57</f>
        <v>0.9731582010168721</v>
      </c>
      <c r="L57" s="564">
        <f>+B57</f>
        <v>0.7642536615517378</v>
      </c>
      <c r="M57" s="627"/>
      <c r="N57" s="628">
        <v>-0.0364752775944005</v>
      </c>
      <c r="P57" s="626">
        <v>0.7473492556982538</v>
      </c>
      <c r="Q57" s="627">
        <v>0.7393183866485699</v>
      </c>
      <c r="R57" s="650">
        <v>0.699995446528166</v>
      </c>
      <c r="S57" s="650">
        <v>0.6588627420465324</v>
      </c>
      <c r="T57" s="650">
        <v>0.6396988032522892</v>
      </c>
      <c r="U57" s="565">
        <v>67.317826</v>
      </c>
      <c r="V57" s="627">
        <v>0.9892541954267678</v>
      </c>
      <c r="W57" s="627">
        <v>0.9468119002170905</v>
      </c>
      <c r="X57" s="627">
        <v>0.9412386113571976</v>
      </c>
      <c r="Y57" s="627">
        <v>0.9709136098139092</v>
      </c>
      <c r="Z57" s="627">
        <v>0.8559569684117956</v>
      </c>
      <c r="AA57" s="627"/>
      <c r="AB57" s="630">
        <v>-0.03813752283241789</v>
      </c>
      <c r="AE57" s="629"/>
      <c r="AF57" s="629"/>
      <c r="AG57" s="629"/>
      <c r="AH57" s="629"/>
      <c r="AI57" s="629"/>
      <c r="AK57" s="670"/>
      <c r="AL57" s="670"/>
      <c r="AM57" s="670"/>
      <c r="AN57" s="670"/>
      <c r="AO57" s="670"/>
      <c r="AP57" s="670"/>
    </row>
    <row r="58" spans="1:42" ht="12.75">
      <c r="A58" s="625"/>
      <c r="B58" s="626"/>
      <c r="C58" s="650"/>
      <c r="D58" s="650"/>
      <c r="G58" s="651"/>
      <c r="H58" s="627"/>
      <c r="I58" s="627"/>
      <c r="J58" s="627"/>
      <c r="K58" s="627"/>
      <c r="L58" s="627"/>
      <c r="M58" s="627"/>
      <c r="N58" s="628"/>
      <c r="P58" s="626"/>
      <c r="Q58" s="627"/>
      <c r="R58" s="650"/>
      <c r="S58" s="650"/>
      <c r="T58" s="650"/>
      <c r="U58" s="565"/>
      <c r="V58" s="627"/>
      <c r="W58" s="627"/>
      <c r="X58" s="627"/>
      <c r="Y58" s="627"/>
      <c r="Z58" s="627"/>
      <c r="AA58" s="627"/>
      <c r="AB58" s="630"/>
      <c r="AE58" s="629"/>
      <c r="AF58" s="629"/>
      <c r="AG58" s="629"/>
      <c r="AH58" s="629"/>
      <c r="AK58" s="670"/>
      <c r="AL58" s="670"/>
      <c r="AM58" s="670"/>
      <c r="AN58" s="670"/>
      <c r="AO58" s="670"/>
      <c r="AP58" s="670"/>
    </row>
    <row r="59" spans="1:42" ht="12.75">
      <c r="A59" s="625" t="s">
        <v>20</v>
      </c>
      <c r="B59" s="626">
        <v>0.7063758262123784</v>
      </c>
      <c r="C59" s="650">
        <v>0.649813994559519</v>
      </c>
      <c r="D59" s="650">
        <v>0.6184486056915661</v>
      </c>
      <c r="E59" s="627">
        <v>0.6371100678934256</v>
      </c>
      <c r="F59" s="627">
        <v>0.5964786397579404</v>
      </c>
      <c r="G59" s="651">
        <v>81.513326</v>
      </c>
      <c r="H59" s="627">
        <f>+C59/B59</f>
        <v>0.9199267166939352</v>
      </c>
      <c r="I59" s="627">
        <f>+D59/C59</f>
        <v>0.9517317430363835</v>
      </c>
      <c r="J59" s="627">
        <f>+E59/D59</f>
        <v>1.0301746370355087</v>
      </c>
      <c r="K59" s="627">
        <f>+F59/E59</f>
        <v>0.9362254182078285</v>
      </c>
      <c r="L59" s="627">
        <f>+B59</f>
        <v>0.7063758262123784</v>
      </c>
      <c r="M59" s="627"/>
      <c r="N59" s="630">
        <v>-0.0413948300090059</v>
      </c>
      <c r="P59" s="626">
        <v>0.7098268592547159</v>
      </c>
      <c r="Q59" s="627">
        <v>0.638755741144678</v>
      </c>
      <c r="R59" s="650">
        <v>0.6032343247156706</v>
      </c>
      <c r="S59" s="650">
        <v>0.5921766819321326</v>
      </c>
      <c r="T59" s="650">
        <v>0.5709697470360173</v>
      </c>
      <c r="U59" s="565">
        <v>60.993326</v>
      </c>
      <c r="V59" s="627">
        <v>0.8998754172465957</v>
      </c>
      <c r="W59" s="627">
        <v>0.9443896717619297</v>
      </c>
      <c r="X59" s="627">
        <v>0.9816694071764733</v>
      </c>
      <c r="Y59" s="627">
        <v>0.9641881628521373</v>
      </c>
      <c r="Z59" s="627">
        <v>0.8043788983069874</v>
      </c>
      <c r="AA59" s="627"/>
      <c r="AB59" s="630">
        <v>-0.05296688071886724</v>
      </c>
      <c r="AE59" s="629"/>
      <c r="AF59" s="629"/>
      <c r="AG59" s="629"/>
      <c r="AH59" s="629"/>
      <c r="AI59" s="629"/>
      <c r="AK59" s="670"/>
      <c r="AL59" s="670"/>
      <c r="AM59" s="670"/>
      <c r="AN59" s="670"/>
      <c r="AO59" s="670"/>
      <c r="AP59" s="670"/>
    </row>
    <row r="60" spans="1:42" ht="12.75">
      <c r="A60" s="625"/>
      <c r="B60" s="626"/>
      <c r="C60" s="650"/>
      <c r="D60" s="650"/>
      <c r="G60" s="651"/>
      <c r="H60" s="627"/>
      <c r="I60" s="627"/>
      <c r="J60" s="627"/>
      <c r="K60" s="627"/>
      <c r="L60" s="627"/>
      <c r="M60" s="627"/>
      <c r="N60" s="630"/>
      <c r="P60" s="626"/>
      <c r="Q60" s="627"/>
      <c r="R60" s="650"/>
      <c r="S60" s="650"/>
      <c r="T60" s="650"/>
      <c r="U60" s="565"/>
      <c r="V60" s="627"/>
      <c r="W60" s="627"/>
      <c r="X60" s="627"/>
      <c r="Y60" s="627"/>
      <c r="Z60" s="627"/>
      <c r="AA60" s="627"/>
      <c r="AB60" s="630"/>
      <c r="AK60" s="670"/>
      <c r="AL60" s="670"/>
      <c r="AM60" s="670"/>
      <c r="AN60" s="670"/>
      <c r="AO60" s="670"/>
      <c r="AP60" s="670"/>
    </row>
    <row r="61" spans="1:42" ht="12.75">
      <c r="A61" s="625" t="s">
        <v>21</v>
      </c>
      <c r="B61" s="626">
        <v>0.6976968523581769</v>
      </c>
      <c r="C61" s="650">
        <v>0.6698863127060761</v>
      </c>
      <c r="D61" s="650">
        <v>0.6446836377449868</v>
      </c>
      <c r="E61" s="627">
        <v>0.6753551635144537</v>
      </c>
      <c r="F61" s="627">
        <v>0.6514363370751107</v>
      </c>
      <c r="G61" s="651">
        <v>92.348781</v>
      </c>
      <c r="H61" s="627">
        <f>+C61/B61</f>
        <v>0.9601395082146312</v>
      </c>
      <c r="I61" s="627">
        <f>+D61/C61</f>
        <v>0.962377683372451</v>
      </c>
      <c r="J61" s="627">
        <f>+E61/D61</f>
        <v>1.0475760884466552</v>
      </c>
      <c r="K61" s="627">
        <f>+F61/E61</f>
        <v>0.9645833366922484</v>
      </c>
      <c r="L61" s="627">
        <f>+B61</f>
        <v>0.6976968523581769</v>
      </c>
      <c r="M61" s="627"/>
      <c r="N61" s="630">
        <v>-0.01700501078301342</v>
      </c>
      <c r="P61" s="626">
        <v>0.695316710665388</v>
      </c>
      <c r="Q61" s="627">
        <v>0.6710975692025365</v>
      </c>
      <c r="R61" s="650">
        <v>0.6577642920430046</v>
      </c>
      <c r="S61" s="650">
        <v>0.6340968195014707</v>
      </c>
      <c r="T61" s="650">
        <v>0.6406089306920999</v>
      </c>
      <c r="U61" s="565">
        <v>71.939729</v>
      </c>
      <c r="V61" s="627">
        <v>0.9651681872571783</v>
      </c>
      <c r="W61" s="627">
        <v>0.9801321331332256</v>
      </c>
      <c r="X61" s="627">
        <v>0.9640183074273869</v>
      </c>
      <c r="Y61" s="627">
        <v>1.0102699004163893</v>
      </c>
      <c r="Z61" s="627">
        <v>0.9213196243752935</v>
      </c>
      <c r="AA61" s="627"/>
      <c r="AB61" s="630">
        <v>-0.020278631487187004</v>
      </c>
      <c r="AE61" s="629"/>
      <c r="AF61" s="629"/>
      <c r="AG61" s="629"/>
      <c r="AH61" s="629"/>
      <c r="AI61" s="629"/>
      <c r="AK61" s="670"/>
      <c r="AL61" s="670"/>
      <c r="AM61" s="670"/>
      <c r="AN61" s="670"/>
      <c r="AO61" s="670"/>
      <c r="AP61" s="670"/>
    </row>
    <row r="62" spans="1:42" ht="12.75">
      <c r="A62" s="625"/>
      <c r="B62" s="626"/>
      <c r="C62" s="650"/>
      <c r="D62" s="650"/>
      <c r="E62" s="627"/>
      <c r="F62" s="627"/>
      <c r="G62" s="651"/>
      <c r="H62" s="627"/>
      <c r="I62" s="627"/>
      <c r="J62" s="627"/>
      <c r="K62" s="627"/>
      <c r="L62" s="627"/>
      <c r="M62" s="627"/>
      <c r="N62" s="630"/>
      <c r="P62" s="626"/>
      <c r="Q62" s="627"/>
      <c r="R62" s="650"/>
      <c r="S62" s="650"/>
      <c r="T62" s="650"/>
      <c r="U62" s="565"/>
      <c r="V62" s="627"/>
      <c r="W62" s="627"/>
      <c r="X62" s="627"/>
      <c r="Y62" s="627"/>
      <c r="Z62" s="627"/>
      <c r="AA62" s="627"/>
      <c r="AB62" s="630"/>
      <c r="AK62" s="670"/>
      <c r="AL62" s="670"/>
      <c r="AM62" s="670"/>
      <c r="AN62" s="670"/>
      <c r="AO62" s="670"/>
      <c r="AP62" s="670"/>
    </row>
    <row r="63" spans="1:42" ht="12.75">
      <c r="A63" s="625" t="s">
        <v>22</v>
      </c>
      <c r="B63" s="626">
        <v>0.8047229207956612</v>
      </c>
      <c r="C63" s="650">
        <v>0.8106722714686009</v>
      </c>
      <c r="D63" s="650">
        <v>0.7671841077661846</v>
      </c>
      <c r="E63" s="627">
        <v>0.784509319007555</v>
      </c>
      <c r="F63" s="627">
        <v>0.7737361583473681</v>
      </c>
      <c r="G63" s="651">
        <v>116.76428</v>
      </c>
      <c r="H63" s="627">
        <f>+C63/B63</f>
        <v>1.0073930423990625</v>
      </c>
      <c r="I63" s="627">
        <f>+D63/C63</f>
        <v>0.9463554321111368</v>
      </c>
      <c r="J63" s="627">
        <f>+E63/D63</f>
        <v>1.0225828599236972</v>
      </c>
      <c r="K63" s="627">
        <f>+F63/E63</f>
        <v>0.9862676447568327</v>
      </c>
      <c r="L63" s="627">
        <f>+B63</f>
        <v>0.8047229207956612</v>
      </c>
      <c r="M63" s="627"/>
      <c r="N63" s="630">
        <v>-0.009768744188240697</v>
      </c>
      <c r="P63" s="626">
        <v>0.8000459725052945</v>
      </c>
      <c r="Q63" s="627">
        <v>0.7954392377915299</v>
      </c>
      <c r="R63" s="650">
        <v>0.771805411654993</v>
      </c>
      <c r="S63" s="650">
        <v>0.7634326266753666</v>
      </c>
      <c r="T63" s="650">
        <v>0.7628815018082166</v>
      </c>
      <c r="U63" s="565">
        <v>93.342317</v>
      </c>
      <c r="V63" s="627">
        <v>0.9942419124999293</v>
      </c>
      <c r="W63" s="627">
        <v>0.9702883325165674</v>
      </c>
      <c r="X63" s="627">
        <v>0.989151689204054</v>
      </c>
      <c r="Y63" s="627">
        <v>0.9992780962616831</v>
      </c>
      <c r="Z63" s="627">
        <v>0.9535470810749791</v>
      </c>
      <c r="AA63" s="627"/>
      <c r="AB63" s="630">
        <v>-0.01182119364083889</v>
      </c>
      <c r="AE63" s="629"/>
      <c r="AF63" s="629"/>
      <c r="AG63" s="629"/>
      <c r="AH63" s="629"/>
      <c r="AI63" s="629"/>
      <c r="AK63" s="670"/>
      <c r="AL63" s="670"/>
      <c r="AM63" s="670"/>
      <c r="AN63" s="670"/>
      <c r="AO63" s="670"/>
      <c r="AP63" s="670"/>
    </row>
    <row r="64" spans="1:42" ht="12.75">
      <c r="A64" s="625"/>
      <c r="B64" s="626"/>
      <c r="C64" s="650"/>
      <c r="D64" s="650"/>
      <c r="G64" s="651"/>
      <c r="H64" s="627"/>
      <c r="I64" s="627"/>
      <c r="J64" s="627"/>
      <c r="K64" s="627"/>
      <c r="L64" s="627"/>
      <c r="M64" s="627"/>
      <c r="N64" s="630"/>
      <c r="P64" s="626"/>
      <c r="Q64" s="627"/>
      <c r="R64" s="650"/>
      <c r="S64" s="650"/>
      <c r="T64" s="650"/>
      <c r="U64" s="565"/>
      <c r="V64" s="627"/>
      <c r="W64" s="627"/>
      <c r="X64" s="627"/>
      <c r="Y64" s="627"/>
      <c r="Z64" s="627"/>
      <c r="AA64" s="627"/>
      <c r="AB64" s="630"/>
      <c r="AK64" s="670"/>
      <c r="AL64" s="670"/>
      <c r="AM64" s="670"/>
      <c r="AN64" s="670"/>
      <c r="AO64" s="670"/>
      <c r="AP64" s="670"/>
    </row>
    <row r="65" spans="1:42" ht="12.75">
      <c r="A65" s="631" t="s">
        <v>96</v>
      </c>
      <c r="B65" s="632">
        <v>0.9573286895352928</v>
      </c>
      <c r="C65" s="652">
        <v>0.9216515909537852</v>
      </c>
      <c r="D65" s="652">
        <v>0.8939888350300552</v>
      </c>
      <c r="E65" s="633">
        <v>0.9362550151300952</v>
      </c>
      <c r="F65" s="633">
        <v>0.909810986903349</v>
      </c>
      <c r="G65" s="653">
        <v>72.440767</v>
      </c>
      <c r="H65" s="633">
        <f>+C65/B65</f>
        <v>0.9627326549684561</v>
      </c>
      <c r="I65" s="633">
        <f>+D65/C65</f>
        <v>0.9699856689933093</v>
      </c>
      <c r="J65" s="633">
        <f>+E65/D65</f>
        <v>1.0472781968229157</v>
      </c>
      <c r="K65" s="633">
        <f>+F65/E65</f>
        <v>0.9717555283556246</v>
      </c>
      <c r="L65" s="633">
        <f>+B65</f>
        <v>0.9573286895352928</v>
      </c>
      <c r="M65" s="633"/>
      <c r="N65" s="635">
        <v>-0.012646828027319534</v>
      </c>
      <c r="P65" s="632">
        <v>0.9715090690488749</v>
      </c>
      <c r="Q65" s="633">
        <v>0.9266645925420393</v>
      </c>
      <c r="R65" s="652">
        <v>0.9004351303724376</v>
      </c>
      <c r="S65" s="652">
        <v>0.9087343762718191</v>
      </c>
      <c r="T65" s="652">
        <v>0.9015732866965537</v>
      </c>
      <c r="U65" s="654">
        <v>55.593959</v>
      </c>
      <c r="V65" s="633">
        <v>0.9538403933267043</v>
      </c>
      <c r="W65" s="633">
        <v>0.9716947616422371</v>
      </c>
      <c r="X65" s="633">
        <v>1.0092169281488925</v>
      </c>
      <c r="Y65" s="633">
        <v>0.992119710927362</v>
      </c>
      <c r="Z65" s="633">
        <v>0.9280132480690174</v>
      </c>
      <c r="AA65" s="633"/>
      <c r="AB65" s="635">
        <v>-0.018503977348661382</v>
      </c>
      <c r="AE65" s="629"/>
      <c r="AF65" s="629"/>
      <c r="AG65" s="629"/>
      <c r="AH65" s="629"/>
      <c r="AI65" s="629"/>
      <c r="AK65" s="670"/>
      <c r="AL65" s="670"/>
      <c r="AM65" s="670"/>
      <c r="AN65" s="670"/>
      <c r="AO65" s="670"/>
      <c r="AP65" s="670"/>
    </row>
    <row r="66" spans="1:42" ht="12.75">
      <c r="A66" s="625"/>
      <c r="B66" s="626"/>
      <c r="C66" s="650"/>
      <c r="D66" s="650"/>
      <c r="E66" s="627"/>
      <c r="F66" s="627"/>
      <c r="G66" s="650"/>
      <c r="H66" s="627"/>
      <c r="I66" s="627"/>
      <c r="J66" s="627"/>
      <c r="K66" s="627"/>
      <c r="L66" s="627"/>
      <c r="M66" s="627"/>
      <c r="N66" s="630"/>
      <c r="P66" s="626"/>
      <c r="Q66" s="627"/>
      <c r="R66" s="650"/>
      <c r="S66" s="650"/>
      <c r="T66" s="650"/>
      <c r="U66" s="565"/>
      <c r="V66" s="627"/>
      <c r="W66" s="627"/>
      <c r="X66" s="627"/>
      <c r="Y66" s="627"/>
      <c r="Z66" s="627"/>
      <c r="AA66" s="627"/>
      <c r="AB66" s="630"/>
      <c r="AK66" s="670"/>
      <c r="AL66" s="670"/>
      <c r="AM66" s="670"/>
      <c r="AN66" s="670"/>
      <c r="AO66" s="670"/>
      <c r="AP66" s="670"/>
    </row>
    <row r="67" spans="1:42" ht="13.5" thickBot="1">
      <c r="A67" s="637" t="s">
        <v>84</v>
      </c>
      <c r="B67" s="642">
        <v>0.7742538038314686</v>
      </c>
      <c r="C67" s="655">
        <v>0.7479904210096536</v>
      </c>
      <c r="D67" s="655">
        <v>0.7103289543821467</v>
      </c>
      <c r="E67" s="639">
        <v>0.7266553789197153</v>
      </c>
      <c r="F67" s="639">
        <v>0.7022972484579783</v>
      </c>
      <c r="G67" s="656">
        <v>448.169644</v>
      </c>
      <c r="H67" s="639">
        <f>+C67/B67</f>
        <v>0.9660791039167672</v>
      </c>
      <c r="I67" s="639">
        <f>+D67/C67</f>
        <v>0.9496498008936122</v>
      </c>
      <c r="J67" s="639">
        <f>+E67/D67</f>
        <v>1.0229843151357523</v>
      </c>
      <c r="K67" s="639">
        <f>+F67/E67</f>
        <v>0.9664791162793714</v>
      </c>
      <c r="L67" s="639">
        <f>+B67</f>
        <v>0.7742538038314686</v>
      </c>
      <c r="M67" s="639"/>
      <c r="N67" s="641">
        <v>-0.024090816535377035</v>
      </c>
      <c r="P67" s="638">
        <v>0.7697098798592907</v>
      </c>
      <c r="Q67" s="643">
        <v>0.7408736947703227</v>
      </c>
      <c r="R67" s="655">
        <v>0.7123073354170872</v>
      </c>
      <c r="S67" s="655">
        <v>0.6951538006860639</v>
      </c>
      <c r="T67" s="655">
        <v>0.6868693765382872</v>
      </c>
      <c r="U67" s="656">
        <v>349.187157</v>
      </c>
      <c r="V67" s="639">
        <f>Q67/P67</f>
        <v>0.9625362934223483</v>
      </c>
      <c r="W67" s="639">
        <f>R67/Q67</f>
        <v>0.9614423355089003</v>
      </c>
      <c r="X67" s="639">
        <f>S67/R67</f>
        <v>0.9759183517028094</v>
      </c>
      <c r="Y67" s="639">
        <f>T67/S67</f>
        <v>0.9880826025268068</v>
      </c>
      <c r="Z67" s="639">
        <f>T67/P67</f>
        <v>0.892374379634899</v>
      </c>
      <c r="AA67" s="639"/>
      <c r="AB67" s="641">
        <f>((T67/P67)^0.25)-1</f>
        <v>-0.028066003425442965</v>
      </c>
      <c r="AE67" s="629"/>
      <c r="AF67" s="629"/>
      <c r="AG67" s="629"/>
      <c r="AH67" s="629"/>
      <c r="AI67" s="629"/>
      <c r="AK67" s="670"/>
      <c r="AL67" s="670"/>
      <c r="AM67" s="670"/>
      <c r="AN67" s="670"/>
      <c r="AO67" s="670"/>
      <c r="AP67" s="670"/>
    </row>
    <row r="68" ht="5.25" customHeight="1" thickTop="1"/>
    <row r="69" spans="2:6" ht="21.75" customHeight="1">
      <c r="B69" s="737" t="s">
        <v>148</v>
      </c>
      <c r="C69" s="737"/>
      <c r="D69" s="737"/>
      <c r="E69" s="737"/>
      <c r="F69" s="737"/>
    </row>
  </sheetData>
  <sheetProtection/>
  <mergeCells count="33">
    <mergeCell ref="J1:P1"/>
    <mergeCell ref="B9:F9"/>
    <mergeCell ref="H9:L9"/>
    <mergeCell ref="P9:T9"/>
    <mergeCell ref="H2:R2"/>
    <mergeCell ref="J3:P3"/>
    <mergeCell ref="D4:W4"/>
    <mergeCell ref="D5:W5"/>
    <mergeCell ref="D7:W7"/>
    <mergeCell ref="A6:Y6"/>
    <mergeCell ref="P8:AB8"/>
    <mergeCell ref="E38:X38"/>
    <mergeCell ref="P24:T24"/>
    <mergeCell ref="B24:F24"/>
    <mergeCell ref="P23:AB23"/>
    <mergeCell ref="V40:Z40"/>
    <mergeCell ref="B8:N8"/>
    <mergeCell ref="H24:L24"/>
    <mergeCell ref="H40:L40"/>
    <mergeCell ref="V9:Z9"/>
    <mergeCell ref="B23:N23"/>
    <mergeCell ref="B39:N39"/>
    <mergeCell ref="B69:F69"/>
    <mergeCell ref="B55:F55"/>
    <mergeCell ref="H55:L55"/>
    <mergeCell ref="P55:T55"/>
    <mergeCell ref="B40:F40"/>
    <mergeCell ref="V24:Z24"/>
    <mergeCell ref="V55:Z55"/>
    <mergeCell ref="B54:N54"/>
    <mergeCell ref="P54:AB54"/>
    <mergeCell ref="P39:AB39"/>
    <mergeCell ref="P40:T40"/>
  </mergeCells>
  <printOptions/>
  <pageMargins left="0.75" right="0.75" top="1" bottom="1" header="0.5" footer="0.5"/>
  <pageSetup horizontalDpi="600" verticalDpi="600" orientation="landscape" scale="50" r:id="rId1"/>
  <headerFooter alignWithMargins="0">
    <oddFooter>&amp;L"&amp;F"&amp;R&amp;"Arial,Italic"&amp;A</oddFooter>
  </headerFooter>
</worksheet>
</file>

<file path=xl/worksheets/sheet24.xml><?xml version="1.0" encoding="utf-8"?>
<worksheet xmlns="http://schemas.openxmlformats.org/spreadsheetml/2006/main" xmlns:r="http://schemas.openxmlformats.org/officeDocument/2006/relationships">
  <dimension ref="A1:AC69"/>
  <sheetViews>
    <sheetView zoomScale="85" zoomScaleNormal="85" zoomScaleSheetLayoutView="85" zoomScalePageLayoutView="0" workbookViewId="0" topLeftCell="A1">
      <selection activeCell="N21" sqref="N21"/>
    </sheetView>
  </sheetViews>
  <sheetFormatPr defaultColWidth="9.140625" defaultRowHeight="12.75"/>
  <cols>
    <col min="1" max="1" width="10.57421875" style="609" bestFit="1" customWidth="1"/>
    <col min="2" max="3" width="8.140625" style="610" bestFit="1" customWidth="1"/>
    <col min="4" max="4" width="7.7109375" style="610" customWidth="1"/>
    <col min="5" max="5" width="7.8515625" style="610" bestFit="1" customWidth="1"/>
    <col min="6" max="6" width="8.140625" style="610" bestFit="1" customWidth="1"/>
    <col min="7" max="7" width="11.8515625" style="610" bestFit="1" customWidth="1"/>
    <col min="8" max="9" width="7.8515625" style="610" bestFit="1" customWidth="1"/>
    <col min="10" max="10" width="8.7109375" style="610" bestFit="1" customWidth="1"/>
    <col min="11" max="11" width="7.8515625" style="610" bestFit="1" customWidth="1"/>
    <col min="12" max="12" width="8.7109375" style="610" bestFit="1" customWidth="1"/>
    <col min="13" max="13" width="1.57421875" style="610" customWidth="1"/>
    <col min="14" max="14" width="11.140625" style="610" bestFit="1" customWidth="1"/>
    <col min="15" max="15" width="2.421875" style="610" customWidth="1"/>
    <col min="16" max="18" width="8.140625" style="610" bestFit="1" customWidth="1"/>
    <col min="19" max="19" width="7.8515625" style="610" bestFit="1" customWidth="1"/>
    <col min="20" max="20" width="8.140625" style="610" bestFit="1" customWidth="1"/>
    <col min="21" max="21" width="11.8515625" style="610" bestFit="1" customWidth="1"/>
    <col min="22" max="23" width="7.8515625" style="610" bestFit="1" customWidth="1"/>
    <col min="24" max="24" width="7.57421875" style="610" bestFit="1" customWidth="1"/>
    <col min="25" max="26" width="7.8515625" style="610" bestFit="1" customWidth="1"/>
    <col min="27" max="27" width="1.57421875" style="610" customWidth="1"/>
    <col min="28" max="28" width="11.00390625" style="610" bestFit="1" customWidth="1"/>
    <col min="29" max="29" width="3.00390625" style="610" customWidth="1"/>
    <col min="30" max="16384" width="9.140625" style="610" customWidth="1"/>
  </cols>
  <sheetData>
    <row r="1" spans="10:16" ht="18.75" customHeight="1">
      <c r="J1" s="733" t="s">
        <v>98</v>
      </c>
      <c r="K1" s="733"/>
      <c r="L1" s="733"/>
      <c r="M1" s="733"/>
      <c r="N1" s="733"/>
      <c r="O1" s="733"/>
      <c r="P1" s="733"/>
    </row>
    <row r="2" spans="2:29" ht="18" customHeight="1">
      <c r="B2" s="611"/>
      <c r="C2" s="611"/>
      <c r="E2" s="611"/>
      <c r="F2" s="611"/>
      <c r="G2" s="611"/>
      <c r="H2" s="734" t="s">
        <v>94</v>
      </c>
      <c r="I2" s="734"/>
      <c r="J2" s="734"/>
      <c r="K2" s="734"/>
      <c r="L2" s="734"/>
      <c r="M2" s="734"/>
      <c r="N2" s="734"/>
      <c r="O2" s="734"/>
      <c r="P2" s="734"/>
      <c r="Q2" s="734"/>
      <c r="R2" s="734"/>
      <c r="S2" s="611"/>
      <c r="T2" s="611"/>
      <c r="U2" s="611"/>
      <c r="V2" s="611"/>
      <c r="W2" s="611"/>
      <c r="X2" s="611"/>
      <c r="Y2" s="611"/>
      <c r="Z2" s="611"/>
      <c r="AA2" s="611"/>
      <c r="AB2" s="611"/>
      <c r="AC2" s="611"/>
    </row>
    <row r="3" spans="2:27" ht="18" customHeight="1">
      <c r="B3" s="612"/>
      <c r="C3" s="612"/>
      <c r="E3" s="612"/>
      <c r="F3" s="612"/>
      <c r="G3" s="612"/>
      <c r="H3" s="612"/>
      <c r="I3" s="612"/>
      <c r="J3" s="735" t="s">
        <v>1</v>
      </c>
      <c r="K3" s="735"/>
      <c r="L3" s="735"/>
      <c r="M3" s="735"/>
      <c r="N3" s="735"/>
      <c r="O3" s="735"/>
      <c r="P3" s="735"/>
      <c r="Q3" s="612"/>
      <c r="R3" s="612"/>
      <c r="S3" s="612"/>
      <c r="T3" s="612"/>
      <c r="U3" s="612"/>
      <c r="V3" s="612"/>
      <c r="W3" s="612"/>
      <c r="X3" s="612"/>
      <c r="Y3" s="613"/>
      <c r="Z3" s="613"/>
      <c r="AA3" s="613"/>
    </row>
    <row r="4" spans="2:27" ht="18" customHeight="1">
      <c r="B4" s="614"/>
      <c r="C4" s="614"/>
      <c r="D4" s="732" t="s">
        <v>127</v>
      </c>
      <c r="E4" s="732"/>
      <c r="F4" s="732"/>
      <c r="G4" s="732"/>
      <c r="H4" s="732"/>
      <c r="I4" s="732"/>
      <c r="J4" s="732"/>
      <c r="K4" s="732"/>
      <c r="L4" s="732"/>
      <c r="M4" s="732"/>
      <c r="N4" s="732"/>
      <c r="O4" s="732"/>
      <c r="P4" s="732"/>
      <c r="Q4" s="732"/>
      <c r="R4" s="732"/>
      <c r="S4" s="732"/>
      <c r="T4" s="732"/>
      <c r="U4" s="732"/>
      <c r="V4" s="732"/>
      <c r="W4" s="732"/>
      <c r="X4" s="614"/>
      <c r="Y4" s="613"/>
      <c r="Z4" s="613"/>
      <c r="AA4" s="613"/>
    </row>
    <row r="5" spans="2:27" ht="18" customHeight="1">
      <c r="B5" s="614"/>
      <c r="C5" s="614"/>
      <c r="D5" s="732" t="s">
        <v>142</v>
      </c>
      <c r="E5" s="732"/>
      <c r="F5" s="732"/>
      <c r="G5" s="732"/>
      <c r="H5" s="732"/>
      <c r="I5" s="732"/>
      <c r="J5" s="732"/>
      <c r="K5" s="732"/>
      <c r="L5" s="732"/>
      <c r="M5" s="732"/>
      <c r="N5" s="732"/>
      <c r="O5" s="732"/>
      <c r="P5" s="732"/>
      <c r="Q5" s="732"/>
      <c r="R5" s="732"/>
      <c r="S5" s="732"/>
      <c r="T5" s="732"/>
      <c r="U5" s="732"/>
      <c r="V5" s="732"/>
      <c r="W5" s="732"/>
      <c r="X5" s="614"/>
      <c r="Y5" s="613"/>
      <c r="Z5" s="613"/>
      <c r="AA5" s="613"/>
    </row>
    <row r="6" spans="1:27" ht="18" customHeight="1">
      <c r="A6" s="736" t="s">
        <v>88</v>
      </c>
      <c r="B6" s="736"/>
      <c r="C6" s="736"/>
      <c r="D6" s="736"/>
      <c r="E6" s="736"/>
      <c r="F6" s="736"/>
      <c r="G6" s="736"/>
      <c r="H6" s="736"/>
      <c r="I6" s="736"/>
      <c r="J6" s="736"/>
      <c r="K6" s="736"/>
      <c r="L6" s="736"/>
      <c r="M6" s="736"/>
      <c r="N6" s="736"/>
      <c r="O6" s="736"/>
      <c r="P6" s="736"/>
      <c r="Q6" s="736"/>
      <c r="R6" s="736"/>
      <c r="S6" s="736"/>
      <c r="T6" s="736"/>
      <c r="U6" s="736"/>
      <c r="V6" s="736"/>
      <c r="W6" s="736"/>
      <c r="X6" s="736"/>
      <c r="Y6" s="736"/>
      <c r="Z6" s="613"/>
      <c r="AA6" s="613"/>
    </row>
    <row r="7" spans="2:27" ht="18" customHeight="1">
      <c r="B7" s="615"/>
      <c r="C7" s="615"/>
      <c r="D7" s="736" t="s">
        <v>184</v>
      </c>
      <c r="E7" s="736"/>
      <c r="F7" s="736"/>
      <c r="G7" s="736"/>
      <c r="H7" s="736"/>
      <c r="I7" s="736"/>
      <c r="J7" s="736"/>
      <c r="K7" s="736"/>
      <c r="L7" s="736"/>
      <c r="M7" s="736"/>
      <c r="N7" s="736"/>
      <c r="O7" s="736"/>
      <c r="P7" s="736"/>
      <c r="Q7" s="736"/>
      <c r="R7" s="736"/>
      <c r="S7" s="736"/>
      <c r="T7" s="736"/>
      <c r="U7" s="736"/>
      <c r="V7" s="736"/>
      <c r="W7" s="736"/>
      <c r="X7" s="613"/>
      <c r="Y7" s="613"/>
      <c r="Z7" s="613"/>
      <c r="AA7" s="613"/>
    </row>
    <row r="8" spans="1:28" ht="18" customHeight="1">
      <c r="A8" s="616"/>
      <c r="B8" s="729" t="s">
        <v>268</v>
      </c>
      <c r="C8" s="729"/>
      <c r="D8" s="729"/>
      <c r="E8" s="729"/>
      <c r="F8" s="729"/>
      <c r="G8" s="729"/>
      <c r="H8" s="729"/>
      <c r="I8" s="729"/>
      <c r="J8" s="729"/>
      <c r="K8" s="729"/>
      <c r="L8" s="729"/>
      <c r="M8" s="729"/>
      <c r="N8" s="729"/>
      <c r="O8" s="616"/>
      <c r="P8" s="729" t="s">
        <v>269</v>
      </c>
      <c r="Q8" s="729"/>
      <c r="R8" s="729"/>
      <c r="S8" s="729"/>
      <c r="T8" s="729"/>
      <c r="U8" s="729"/>
      <c r="V8" s="729"/>
      <c r="W8" s="729"/>
      <c r="X8" s="729"/>
      <c r="Y8" s="729"/>
      <c r="Z8" s="729"/>
      <c r="AA8" s="729"/>
      <c r="AB8" s="729"/>
    </row>
    <row r="9" spans="1:28" ht="27">
      <c r="A9" s="617"/>
      <c r="B9" s="730" t="s">
        <v>81</v>
      </c>
      <c r="C9" s="726"/>
      <c r="D9" s="726"/>
      <c r="E9" s="726"/>
      <c r="F9" s="726"/>
      <c r="G9" s="618" t="s">
        <v>128</v>
      </c>
      <c r="H9" s="726" t="s">
        <v>143</v>
      </c>
      <c r="I9" s="726"/>
      <c r="J9" s="726"/>
      <c r="K9" s="726"/>
      <c r="L9" s="726"/>
      <c r="M9" s="618"/>
      <c r="N9" s="619" t="s">
        <v>265</v>
      </c>
      <c r="P9" s="730" t="s">
        <v>81</v>
      </c>
      <c r="Q9" s="726"/>
      <c r="R9" s="726"/>
      <c r="S9" s="726"/>
      <c r="T9" s="726"/>
      <c r="U9" s="618" t="s">
        <v>128</v>
      </c>
      <c r="V9" s="726" t="s">
        <v>143</v>
      </c>
      <c r="W9" s="726"/>
      <c r="X9" s="726"/>
      <c r="Y9" s="726"/>
      <c r="Z9" s="726"/>
      <c r="AA9" s="618"/>
      <c r="AB9" s="619" t="s">
        <v>265</v>
      </c>
    </row>
    <row r="10" spans="1:28" ht="12.75">
      <c r="A10" s="609" t="s">
        <v>11</v>
      </c>
      <c r="B10" s="620">
        <v>2003</v>
      </c>
      <c r="C10" s="621">
        <v>2004</v>
      </c>
      <c r="D10" s="621">
        <v>2005</v>
      </c>
      <c r="E10" s="621">
        <v>2006</v>
      </c>
      <c r="F10" s="621">
        <v>2007</v>
      </c>
      <c r="G10" s="621">
        <v>2007</v>
      </c>
      <c r="H10" s="622" t="s">
        <v>89</v>
      </c>
      <c r="I10" s="623" t="s">
        <v>90</v>
      </c>
      <c r="J10" s="623" t="s">
        <v>91</v>
      </c>
      <c r="K10" s="623" t="s">
        <v>92</v>
      </c>
      <c r="L10" s="623" t="s">
        <v>93</v>
      </c>
      <c r="M10" s="623"/>
      <c r="N10" s="624" t="s">
        <v>93</v>
      </c>
      <c r="P10" s="620">
        <v>2003</v>
      </c>
      <c r="Q10" s="621">
        <v>2004</v>
      </c>
      <c r="R10" s="621">
        <v>2005</v>
      </c>
      <c r="S10" s="621">
        <v>2006</v>
      </c>
      <c r="T10" s="621">
        <v>2007</v>
      </c>
      <c r="U10" s="621">
        <v>2007</v>
      </c>
      <c r="V10" s="622" t="s">
        <v>89</v>
      </c>
      <c r="W10" s="623" t="s">
        <v>90</v>
      </c>
      <c r="X10" s="623" t="s">
        <v>91</v>
      </c>
      <c r="Y10" s="623" t="s">
        <v>92</v>
      </c>
      <c r="Z10" s="623" t="s">
        <v>93</v>
      </c>
      <c r="AA10" s="623"/>
      <c r="AB10" s="624" t="s">
        <v>93</v>
      </c>
    </row>
    <row r="11" spans="1:28" s="629" customFormat="1" ht="12.75">
      <c r="A11" s="625" t="s">
        <v>95</v>
      </c>
      <c r="B11" s="626">
        <v>0.7485105297047038</v>
      </c>
      <c r="C11" s="627">
        <v>0.7571683528744367</v>
      </c>
      <c r="D11" s="627">
        <v>0.6759516392395373</v>
      </c>
      <c r="E11" s="627">
        <v>0.6301030655188209</v>
      </c>
      <c r="F11" s="627">
        <v>0.7030043171287461</v>
      </c>
      <c r="G11" s="571">
        <v>237</v>
      </c>
      <c r="H11" s="627">
        <v>1.0115667353045101</v>
      </c>
      <c r="I11" s="627">
        <v>0.892736254326298</v>
      </c>
      <c r="J11" s="627">
        <v>0.9321718136932146</v>
      </c>
      <c r="K11" s="627">
        <v>1.1156973447667629</v>
      </c>
      <c r="L11" s="627">
        <v>0.9392043120703855</v>
      </c>
      <c r="M11" s="627"/>
      <c r="N11" s="630">
        <v>-0.015558259777805117</v>
      </c>
      <c r="P11" s="626">
        <v>0.7935818056422195</v>
      </c>
      <c r="Q11" s="627">
        <v>0.7407115478683142</v>
      </c>
      <c r="R11" s="627">
        <v>0.685026388738775</v>
      </c>
      <c r="S11" s="627">
        <v>0.646266339107818</v>
      </c>
      <c r="T11" s="627">
        <v>0.7041203951993071</v>
      </c>
      <c r="U11" s="571">
        <v>168</v>
      </c>
      <c r="V11" s="627">
        <v>0.9333776840673418</v>
      </c>
      <c r="W11" s="627">
        <v>0.9248220723845944</v>
      </c>
      <c r="X11" s="627">
        <v>0.9434181656821727</v>
      </c>
      <c r="Y11" s="627">
        <v>1.0895204540149153</v>
      </c>
      <c r="Z11" s="627">
        <v>0.8872688236967401</v>
      </c>
      <c r="AA11" s="627"/>
      <c r="AB11" s="630">
        <v>-0.029459181467549</v>
      </c>
    </row>
    <row r="12" spans="1:28" s="629" customFormat="1" ht="9" customHeight="1">
      <c r="A12" s="625"/>
      <c r="B12" s="626"/>
      <c r="C12" s="627"/>
      <c r="D12" s="627"/>
      <c r="E12" s="627"/>
      <c r="F12" s="627"/>
      <c r="G12" s="571"/>
      <c r="H12" s="627"/>
      <c r="I12" s="627"/>
      <c r="J12" s="627"/>
      <c r="K12" s="627"/>
      <c r="L12" s="627"/>
      <c r="M12" s="627"/>
      <c r="N12" s="630"/>
      <c r="P12" s="657"/>
      <c r="U12" s="572"/>
      <c r="V12" s="627"/>
      <c r="W12" s="627"/>
      <c r="X12" s="627"/>
      <c r="Y12" s="627"/>
      <c r="Z12" s="627"/>
      <c r="AA12" s="627"/>
      <c r="AB12" s="630"/>
    </row>
    <row r="13" spans="1:28" s="629" customFormat="1" ht="12.75">
      <c r="A13" s="625" t="s">
        <v>20</v>
      </c>
      <c r="B13" s="626">
        <v>0.7559359773678326</v>
      </c>
      <c r="C13" s="627">
        <v>0.6671035154054915</v>
      </c>
      <c r="D13" s="627">
        <v>0.7381714092227096</v>
      </c>
      <c r="E13" s="627">
        <v>0.6900018912445659</v>
      </c>
      <c r="F13" s="627">
        <v>0.7892272137851827</v>
      </c>
      <c r="G13" s="571">
        <v>277</v>
      </c>
      <c r="H13" s="627">
        <v>0.8824867917099865</v>
      </c>
      <c r="I13" s="627">
        <v>1.1065320331493387</v>
      </c>
      <c r="J13" s="627">
        <v>0.9347448067260341</v>
      </c>
      <c r="K13" s="627">
        <v>1.143804421117807</v>
      </c>
      <c r="L13" s="627">
        <v>1.0440397565588426</v>
      </c>
      <c r="M13" s="627"/>
      <c r="N13" s="630">
        <v>0.010832645223587178</v>
      </c>
      <c r="P13" s="626">
        <v>0.7551202343339453</v>
      </c>
      <c r="Q13" s="627">
        <v>0.6883988840136216</v>
      </c>
      <c r="R13" s="627">
        <v>0.790602913293649</v>
      </c>
      <c r="S13" s="627">
        <v>0.7551189468726902</v>
      </c>
      <c r="T13" s="627">
        <v>0.7853143693211699</v>
      </c>
      <c r="U13" s="572">
        <v>187</v>
      </c>
      <c r="V13" s="627">
        <v>0.9116414217410352</v>
      </c>
      <c r="W13" s="627">
        <v>1.1484662913515198</v>
      </c>
      <c r="X13" s="627">
        <v>0.9551178400378862</v>
      </c>
      <c r="Y13" s="627">
        <v>1.039987637144497</v>
      </c>
      <c r="Z13" s="627">
        <v>1.0399858639913913</v>
      </c>
      <c r="AA13" s="627"/>
      <c r="AB13" s="630">
        <v>0.00984997496983131</v>
      </c>
    </row>
    <row r="14" spans="1:28" s="629" customFormat="1" ht="9" customHeight="1">
      <c r="A14" s="625"/>
      <c r="B14" s="626"/>
      <c r="C14" s="627"/>
      <c r="D14" s="627"/>
      <c r="E14" s="627"/>
      <c r="F14" s="627"/>
      <c r="G14" s="571"/>
      <c r="H14" s="627"/>
      <c r="I14" s="627"/>
      <c r="J14" s="627"/>
      <c r="K14" s="627"/>
      <c r="L14" s="627"/>
      <c r="M14" s="627"/>
      <c r="N14" s="630"/>
      <c r="P14" s="657"/>
      <c r="U14" s="572"/>
      <c r="V14" s="627"/>
      <c r="W14" s="627"/>
      <c r="X14" s="627"/>
      <c r="Y14" s="627"/>
      <c r="Z14" s="627"/>
      <c r="AA14" s="627"/>
      <c r="AB14" s="630"/>
    </row>
    <row r="15" spans="1:28" s="629" customFormat="1" ht="12.75">
      <c r="A15" s="625" t="s">
        <v>21</v>
      </c>
      <c r="B15" s="626">
        <v>0.8225504751498371</v>
      </c>
      <c r="C15" s="627">
        <v>0.9104891890458406</v>
      </c>
      <c r="D15" s="627">
        <v>0.9035553332249857</v>
      </c>
      <c r="E15" s="627">
        <v>0.7868028174946079</v>
      </c>
      <c r="F15" s="627">
        <v>0.7305189522516443</v>
      </c>
      <c r="G15" s="571">
        <v>165</v>
      </c>
      <c r="H15" s="627">
        <v>1.1069098086412077</v>
      </c>
      <c r="I15" s="627">
        <v>0.9923844721010676</v>
      </c>
      <c r="J15" s="627">
        <v>0.870785427923199</v>
      </c>
      <c r="K15" s="627">
        <v>0.9284650944410868</v>
      </c>
      <c r="L15" s="627">
        <v>0.8881144371335653</v>
      </c>
      <c r="M15" s="627"/>
      <c r="N15" s="630">
        <v>-0.02922802006988645</v>
      </c>
      <c r="P15" s="626">
        <v>0.7855989419878537</v>
      </c>
      <c r="Q15" s="627">
        <v>0.9765736396842115</v>
      </c>
      <c r="R15" s="627">
        <v>0.9161728802600404</v>
      </c>
      <c r="S15" s="627">
        <v>0.8479455495380631</v>
      </c>
      <c r="T15" s="627">
        <v>0.6818613739544213</v>
      </c>
      <c r="U15" s="572">
        <v>109</v>
      </c>
      <c r="V15" s="627">
        <v>1.2430943926847988</v>
      </c>
      <c r="W15" s="627">
        <v>0.9381503278711245</v>
      </c>
      <c r="X15" s="627">
        <v>0.9255300694966958</v>
      </c>
      <c r="Y15" s="627">
        <v>0.8041334426790495</v>
      </c>
      <c r="Z15" s="627">
        <v>0.8679509830156614</v>
      </c>
      <c r="AA15" s="627"/>
      <c r="AB15" s="630">
        <v>-0.03478558370650242</v>
      </c>
    </row>
    <row r="16" spans="1:28" s="629" customFormat="1" ht="9" customHeight="1">
      <c r="A16" s="625"/>
      <c r="B16" s="626"/>
      <c r="C16" s="627"/>
      <c r="D16" s="627"/>
      <c r="E16" s="627"/>
      <c r="F16" s="627"/>
      <c r="G16" s="571"/>
      <c r="H16" s="627"/>
      <c r="I16" s="627"/>
      <c r="J16" s="627"/>
      <c r="K16" s="627"/>
      <c r="L16" s="627"/>
      <c r="M16" s="627"/>
      <c r="N16" s="630"/>
      <c r="P16" s="657"/>
      <c r="U16" s="572"/>
      <c r="V16" s="627"/>
      <c r="W16" s="627"/>
      <c r="X16" s="627"/>
      <c r="Y16" s="627"/>
      <c r="Z16" s="627"/>
      <c r="AA16" s="627"/>
      <c r="AB16" s="630"/>
    </row>
    <row r="17" spans="1:28" s="629" customFormat="1" ht="12.75">
      <c r="A17" s="625" t="s">
        <v>22</v>
      </c>
      <c r="B17" s="626">
        <v>0.9979609563176463</v>
      </c>
      <c r="C17" s="627">
        <v>1.0712739042235546</v>
      </c>
      <c r="D17" s="627">
        <v>1.0598152194822401</v>
      </c>
      <c r="E17" s="627">
        <v>0.9905785148782561</v>
      </c>
      <c r="F17" s="627">
        <v>1.0446582987590378</v>
      </c>
      <c r="G17" s="571">
        <v>161</v>
      </c>
      <c r="H17" s="627">
        <v>1.0734627416451483</v>
      </c>
      <c r="I17" s="627">
        <v>0.9893036834966874</v>
      </c>
      <c r="J17" s="627">
        <v>0.934670965908747</v>
      </c>
      <c r="K17" s="627">
        <v>1.0545941417752516</v>
      </c>
      <c r="L17" s="627">
        <v>1.046792754912676</v>
      </c>
      <c r="M17" s="627"/>
      <c r="N17" s="630">
        <v>0.011498346191512354</v>
      </c>
      <c r="P17" s="626">
        <v>0.9959614868332777</v>
      </c>
      <c r="Q17" s="627">
        <v>1.010974019824582</v>
      </c>
      <c r="R17" s="627">
        <v>1.1509209398555795</v>
      </c>
      <c r="S17" s="627">
        <v>0.9471870567532403</v>
      </c>
      <c r="T17" s="627">
        <v>0.963214910920295</v>
      </c>
      <c r="U17" s="572">
        <v>109</v>
      </c>
      <c r="V17" s="627">
        <v>1.0150734071445249</v>
      </c>
      <c r="W17" s="627">
        <v>1.138427810494359</v>
      </c>
      <c r="X17" s="627">
        <v>0.8229818608323312</v>
      </c>
      <c r="Y17" s="627">
        <v>1.0169215299689534</v>
      </c>
      <c r="Z17" s="627">
        <v>0.9671206403601986</v>
      </c>
      <c r="AA17" s="627"/>
      <c r="AB17" s="630">
        <v>-0.008323177443376628</v>
      </c>
    </row>
    <row r="18" spans="1:28" s="629" customFormat="1" ht="9" customHeight="1">
      <c r="A18" s="625"/>
      <c r="B18" s="626"/>
      <c r="C18" s="627"/>
      <c r="D18" s="627"/>
      <c r="E18" s="627"/>
      <c r="F18" s="627"/>
      <c r="G18" s="571"/>
      <c r="H18" s="627"/>
      <c r="I18" s="627"/>
      <c r="J18" s="627"/>
      <c r="K18" s="627"/>
      <c r="L18" s="627"/>
      <c r="M18" s="627"/>
      <c r="N18" s="630"/>
      <c r="P18" s="626"/>
      <c r="Q18" s="627"/>
      <c r="R18" s="627"/>
      <c r="S18" s="627"/>
      <c r="T18" s="627"/>
      <c r="U18" s="572"/>
      <c r="V18" s="627"/>
      <c r="W18" s="627"/>
      <c r="X18" s="627"/>
      <c r="Y18" s="627"/>
      <c r="Z18" s="627"/>
      <c r="AA18" s="627"/>
      <c r="AB18" s="630"/>
    </row>
    <row r="19" spans="1:28" s="629" customFormat="1" ht="12.75">
      <c r="A19" s="631" t="s">
        <v>96</v>
      </c>
      <c r="B19" s="632">
        <v>1.0010487177042613</v>
      </c>
      <c r="C19" s="633">
        <v>0.933054990663829</v>
      </c>
      <c r="D19" s="633">
        <v>1.2828020192422618</v>
      </c>
      <c r="E19" s="633">
        <v>1.1907502520421367</v>
      </c>
      <c r="F19" s="633">
        <v>1.2266860646623035</v>
      </c>
      <c r="G19" s="634">
        <v>80</v>
      </c>
      <c r="H19" s="633">
        <v>0.9320775044831339</v>
      </c>
      <c r="I19" s="633">
        <v>1.3748407458059921</v>
      </c>
      <c r="J19" s="633">
        <v>0.928241641485333</v>
      </c>
      <c r="K19" s="633">
        <v>1.0301791350105003</v>
      </c>
      <c r="L19" s="633">
        <v>1.2254009649755147</v>
      </c>
      <c r="M19" s="633"/>
      <c r="N19" s="635">
        <v>0.05213036442782748</v>
      </c>
      <c r="P19" s="632">
        <v>0.8806184681348205</v>
      </c>
      <c r="Q19" s="633">
        <v>0.9376291384034375</v>
      </c>
      <c r="R19" s="633">
        <v>1.3010292262756766</v>
      </c>
      <c r="S19" s="633">
        <v>1.1201597567452273</v>
      </c>
      <c r="T19" s="633">
        <v>1.2060155176920286</v>
      </c>
      <c r="U19" s="636">
        <v>55</v>
      </c>
      <c r="V19" s="633">
        <v>1.0647393534561767</v>
      </c>
      <c r="W19" s="633">
        <v>1.3875733730833324</v>
      </c>
      <c r="X19" s="633">
        <v>0.8609797029324192</v>
      </c>
      <c r="Y19" s="633">
        <v>1.0766459966355753</v>
      </c>
      <c r="Z19" s="633">
        <v>1.36950968135657</v>
      </c>
      <c r="AA19" s="633"/>
      <c r="AB19" s="635">
        <v>0.08178580069440411</v>
      </c>
    </row>
    <row r="20" spans="1:28" s="629" customFormat="1" ht="4.5" customHeight="1">
      <c r="A20" s="625"/>
      <c r="B20" s="626"/>
      <c r="C20" s="627"/>
      <c r="D20" s="627"/>
      <c r="E20" s="627"/>
      <c r="F20" s="627"/>
      <c r="G20" s="627"/>
      <c r="H20" s="627"/>
      <c r="I20" s="627"/>
      <c r="J20" s="627"/>
      <c r="K20" s="627"/>
      <c r="L20" s="627"/>
      <c r="M20" s="627"/>
      <c r="N20" s="630"/>
      <c r="P20" s="626"/>
      <c r="Q20" s="627"/>
      <c r="R20" s="650"/>
      <c r="S20" s="650"/>
      <c r="T20" s="650"/>
      <c r="U20" s="572"/>
      <c r="V20" s="627"/>
      <c r="W20" s="627"/>
      <c r="X20" s="627"/>
      <c r="Y20" s="627"/>
      <c r="Z20" s="627"/>
      <c r="AA20" s="627"/>
      <c r="AB20" s="630"/>
    </row>
    <row r="21" spans="1:28" ht="13.5" thickBot="1">
      <c r="A21" s="637" t="s">
        <v>84</v>
      </c>
      <c r="B21" s="638">
        <v>0.8330520430330869</v>
      </c>
      <c r="C21" s="639">
        <v>0.8304047880858529</v>
      </c>
      <c r="D21" s="639">
        <v>0.8570601321487173</v>
      </c>
      <c r="E21" s="639">
        <v>0.7784304693364726</v>
      </c>
      <c r="F21" s="639">
        <v>0.8117876221694048</v>
      </c>
      <c r="G21" s="640">
        <v>920</v>
      </c>
      <c r="H21" s="639">
        <v>0.9968222214093666</v>
      </c>
      <c r="I21" s="639">
        <v>1.0320992176891308</v>
      </c>
      <c r="J21" s="639">
        <v>0.9082565389955616</v>
      </c>
      <c r="K21" s="639">
        <v>1.0428518077682205</v>
      </c>
      <c r="L21" s="639">
        <v>0.974474078730712</v>
      </c>
      <c r="M21" s="639"/>
      <c r="N21" s="641">
        <v>-0.006443491089823339</v>
      </c>
      <c r="P21" s="642">
        <v>0.8199368169467101</v>
      </c>
      <c r="Q21" s="643">
        <v>0.8294054035028772</v>
      </c>
      <c r="R21" s="643">
        <v>0.8694460546086559</v>
      </c>
      <c r="S21" s="643">
        <v>0.7905807438525378</v>
      </c>
      <c r="T21" s="643">
        <v>0.7895987017991486</v>
      </c>
      <c r="U21" s="644">
        <v>628</v>
      </c>
      <c r="V21" s="639">
        <v>1.0115479465740134</v>
      </c>
      <c r="W21" s="639">
        <v>1.0482763325831645</v>
      </c>
      <c r="X21" s="639">
        <v>0.909292462323478</v>
      </c>
      <c r="Y21" s="639">
        <v>0.9987578219416227</v>
      </c>
      <c r="Z21" s="639">
        <v>0.9629994476153237</v>
      </c>
      <c r="AA21" s="639"/>
      <c r="AB21" s="641">
        <v>-0.009381328371243391</v>
      </c>
    </row>
    <row r="22" spans="1:18" ht="13.5" thickTop="1">
      <c r="A22" s="625"/>
      <c r="B22" s="645"/>
      <c r="C22" s="645"/>
      <c r="D22" s="646"/>
      <c r="E22" s="646"/>
      <c r="F22" s="646"/>
      <c r="G22" s="646"/>
      <c r="H22" s="646"/>
      <c r="I22" s="646"/>
      <c r="J22" s="646"/>
      <c r="K22" s="646"/>
      <c r="L22" s="646"/>
      <c r="M22" s="646"/>
      <c r="N22" s="646"/>
      <c r="P22" s="646"/>
      <c r="Q22" s="646"/>
      <c r="R22" s="646"/>
    </row>
    <row r="23" spans="1:28" ht="12.75">
      <c r="A23" s="625"/>
      <c r="B23" s="727" t="s">
        <v>259</v>
      </c>
      <c r="C23" s="727"/>
      <c r="D23" s="727"/>
      <c r="E23" s="727"/>
      <c r="F23" s="727"/>
      <c r="G23" s="727"/>
      <c r="H23" s="727"/>
      <c r="I23" s="727"/>
      <c r="J23" s="727"/>
      <c r="K23" s="727"/>
      <c r="L23" s="727"/>
      <c r="M23" s="727"/>
      <c r="N23" s="727"/>
      <c r="P23" s="728" t="s">
        <v>260</v>
      </c>
      <c r="Q23" s="728"/>
      <c r="R23" s="728"/>
      <c r="S23" s="728"/>
      <c r="T23" s="728"/>
      <c r="U23" s="728"/>
      <c r="V23" s="728"/>
      <c r="W23" s="728"/>
      <c r="X23" s="728"/>
      <c r="Y23" s="728"/>
      <c r="Z23" s="728"/>
      <c r="AA23" s="728"/>
      <c r="AB23" s="728"/>
    </row>
    <row r="24" spans="1:28" s="648" customFormat="1" ht="27">
      <c r="A24" s="647"/>
      <c r="B24" s="730" t="s">
        <v>81</v>
      </c>
      <c r="C24" s="726"/>
      <c r="D24" s="726"/>
      <c r="E24" s="726"/>
      <c r="F24" s="726"/>
      <c r="G24" s="618" t="s">
        <v>129</v>
      </c>
      <c r="H24" s="726" t="s">
        <v>143</v>
      </c>
      <c r="I24" s="726"/>
      <c r="J24" s="726"/>
      <c r="K24" s="726"/>
      <c r="L24" s="726"/>
      <c r="M24" s="618"/>
      <c r="N24" s="619" t="s">
        <v>265</v>
      </c>
      <c r="P24" s="730" t="s">
        <v>81</v>
      </c>
      <c r="Q24" s="726"/>
      <c r="R24" s="726"/>
      <c r="S24" s="726"/>
      <c r="T24" s="726"/>
      <c r="U24" s="618" t="s">
        <v>129</v>
      </c>
      <c r="V24" s="726" t="s">
        <v>143</v>
      </c>
      <c r="W24" s="726"/>
      <c r="X24" s="726"/>
      <c r="Y24" s="726"/>
      <c r="Z24" s="726"/>
      <c r="AA24" s="618"/>
      <c r="AB24" s="619" t="s">
        <v>265</v>
      </c>
    </row>
    <row r="25" spans="1:28" ht="12.75">
      <c r="A25" s="609" t="s">
        <v>11</v>
      </c>
      <c r="B25" s="620">
        <v>2003</v>
      </c>
      <c r="C25" s="621">
        <v>2004</v>
      </c>
      <c r="D25" s="621">
        <v>2005</v>
      </c>
      <c r="E25" s="621">
        <v>2006</v>
      </c>
      <c r="F25" s="621">
        <v>2007</v>
      </c>
      <c r="G25" s="621">
        <v>2007</v>
      </c>
      <c r="H25" s="622" t="s">
        <v>89</v>
      </c>
      <c r="I25" s="623" t="s">
        <v>90</v>
      </c>
      <c r="J25" s="623" t="s">
        <v>91</v>
      </c>
      <c r="K25" s="623" t="s">
        <v>92</v>
      </c>
      <c r="L25" s="623" t="s">
        <v>93</v>
      </c>
      <c r="M25" s="623"/>
      <c r="N25" s="624" t="s">
        <v>93</v>
      </c>
      <c r="O25" s="649"/>
      <c r="P25" s="620">
        <v>2003</v>
      </c>
      <c r="Q25" s="621">
        <v>2004</v>
      </c>
      <c r="R25" s="621">
        <v>2005</v>
      </c>
      <c r="S25" s="621">
        <v>2006</v>
      </c>
      <c r="T25" s="621">
        <v>2007</v>
      </c>
      <c r="U25" s="621">
        <v>2007</v>
      </c>
      <c r="V25" s="622" t="s">
        <v>89</v>
      </c>
      <c r="W25" s="623" t="s">
        <v>90</v>
      </c>
      <c r="X25" s="623" t="s">
        <v>91</v>
      </c>
      <c r="Y25" s="623" t="s">
        <v>92</v>
      </c>
      <c r="Z25" s="623" t="s">
        <v>93</v>
      </c>
      <c r="AA25" s="623"/>
      <c r="AB25" s="624" t="s">
        <v>93</v>
      </c>
    </row>
    <row r="26" spans="1:28" ht="12.75">
      <c r="A26" s="625" t="s">
        <v>95</v>
      </c>
      <c r="B26" s="626">
        <v>0.6967136189994833</v>
      </c>
      <c r="C26" s="650">
        <v>0.6930101391901905</v>
      </c>
      <c r="D26" s="650">
        <v>0.6269074583902986</v>
      </c>
      <c r="E26" s="627">
        <v>0.5859377442271719</v>
      </c>
      <c r="F26" s="627">
        <v>0.6449841030336354</v>
      </c>
      <c r="G26" s="651">
        <v>32.89614399999999</v>
      </c>
      <c r="H26" s="627">
        <v>0.9946843585250836</v>
      </c>
      <c r="I26" s="627">
        <v>0.9046151317827248</v>
      </c>
      <c r="J26" s="627">
        <v>0.9346479075742311</v>
      </c>
      <c r="K26" s="627">
        <v>1.100772410359642</v>
      </c>
      <c r="L26" s="627">
        <v>0.9257521102571038</v>
      </c>
      <c r="M26" s="627"/>
      <c r="N26" s="630">
        <v>-0.019102387025280554</v>
      </c>
      <c r="P26" s="626">
        <v>0.7677912164390347</v>
      </c>
      <c r="Q26" s="627">
        <v>0.6634246285789451</v>
      </c>
      <c r="R26" s="650">
        <v>0.6568921503770397</v>
      </c>
      <c r="S26" s="650">
        <v>0.6136975464927085</v>
      </c>
      <c r="T26" s="650">
        <v>0.6116271366822781</v>
      </c>
      <c r="U26" s="565">
        <v>21.306884</v>
      </c>
      <c r="V26" s="627">
        <v>0.8640690520736419</v>
      </c>
      <c r="W26" s="627">
        <v>0.9901533981095969</v>
      </c>
      <c r="X26" s="627">
        <v>0.9342439944524552</v>
      </c>
      <c r="Y26" s="627">
        <v>0.9966263352000301</v>
      </c>
      <c r="Z26" s="627">
        <v>0.7966060611099</v>
      </c>
      <c r="AA26" s="627"/>
      <c r="AB26" s="630">
        <v>-0.05526304986654684</v>
      </c>
    </row>
    <row r="27" spans="1:28" ht="9" customHeight="1">
      <c r="A27" s="625"/>
      <c r="B27" s="626"/>
      <c r="C27" s="650"/>
      <c r="D27" s="650"/>
      <c r="G27" s="651"/>
      <c r="H27" s="627"/>
      <c r="I27" s="627"/>
      <c r="J27" s="627"/>
      <c r="K27" s="627"/>
      <c r="L27" s="627"/>
      <c r="M27" s="627"/>
      <c r="N27" s="630"/>
      <c r="P27" s="626"/>
      <c r="Q27" s="627"/>
      <c r="R27" s="650"/>
      <c r="S27" s="650"/>
      <c r="T27" s="650"/>
      <c r="U27" s="565"/>
      <c r="V27" s="627"/>
      <c r="W27" s="627"/>
      <c r="X27" s="627"/>
      <c r="Y27" s="627"/>
      <c r="Z27" s="627"/>
      <c r="AA27" s="627"/>
      <c r="AB27" s="630"/>
    </row>
    <row r="28" spans="1:28" ht="12.75">
      <c r="A28" s="625" t="s">
        <v>20</v>
      </c>
      <c r="B28" s="626">
        <v>0.7415544080621066</v>
      </c>
      <c r="C28" s="650">
        <v>0.7170950412710511</v>
      </c>
      <c r="D28" s="650">
        <v>0.6878106487764741</v>
      </c>
      <c r="E28" s="627">
        <v>0.6610992139226425</v>
      </c>
      <c r="F28" s="627">
        <v>0.7399032744195935</v>
      </c>
      <c r="G28" s="651">
        <v>43.29475599999999</v>
      </c>
      <c r="H28" s="627">
        <v>0.9670160860415153</v>
      </c>
      <c r="I28" s="627">
        <v>0.959162466884905</v>
      </c>
      <c r="J28" s="627">
        <v>0.9611645517536725</v>
      </c>
      <c r="K28" s="627">
        <v>1.1192015643603113</v>
      </c>
      <c r="L28" s="627">
        <v>0.9977734153764549</v>
      </c>
      <c r="M28" s="627"/>
      <c r="N28" s="630">
        <v>-0.0005571115429047202</v>
      </c>
      <c r="P28" s="626">
        <v>0.7613944738783156</v>
      </c>
      <c r="Q28" s="627">
        <v>0.7249366764362878</v>
      </c>
      <c r="R28" s="650">
        <v>0.7429336030699708</v>
      </c>
      <c r="S28" s="650">
        <v>0.7644104513805015</v>
      </c>
      <c r="T28" s="650">
        <v>0.7645283836427919</v>
      </c>
      <c r="U28" s="565">
        <v>29.395844</v>
      </c>
      <c r="V28" s="627">
        <v>0.9521170711204106</v>
      </c>
      <c r="W28" s="627">
        <v>1.024825515412124</v>
      </c>
      <c r="X28" s="627">
        <v>1.0289081665195698</v>
      </c>
      <c r="Y28" s="627">
        <v>1.0001542787151554</v>
      </c>
      <c r="Z28" s="627">
        <v>1.0041160132782592</v>
      </c>
      <c r="AA28" s="627"/>
      <c r="AB28" s="630">
        <v>0.0010274188505121629</v>
      </c>
    </row>
    <row r="29" spans="1:28" ht="9" customHeight="1">
      <c r="A29" s="625"/>
      <c r="B29" s="626"/>
      <c r="C29" s="650"/>
      <c r="D29" s="650"/>
      <c r="G29" s="651"/>
      <c r="H29" s="627"/>
      <c r="I29" s="627"/>
      <c r="J29" s="627"/>
      <c r="K29" s="627"/>
      <c r="L29" s="627"/>
      <c r="M29" s="627"/>
      <c r="N29" s="630"/>
      <c r="P29" s="626"/>
      <c r="Q29" s="627"/>
      <c r="R29" s="650"/>
      <c r="S29" s="650"/>
      <c r="T29" s="650"/>
      <c r="U29" s="565"/>
      <c r="V29" s="627"/>
      <c r="W29" s="627"/>
      <c r="X29" s="627"/>
      <c r="Y29" s="627"/>
      <c r="Z29" s="627"/>
      <c r="AA29" s="627"/>
      <c r="AB29" s="630"/>
    </row>
    <row r="30" spans="1:28" ht="12.75">
      <c r="A30" s="625" t="s">
        <v>21</v>
      </c>
      <c r="B30" s="626">
        <v>0.8828039284857947</v>
      </c>
      <c r="C30" s="650">
        <v>0.9065364199457367</v>
      </c>
      <c r="D30" s="650">
        <v>0.8167536912531551</v>
      </c>
      <c r="E30" s="627">
        <v>0.7386763369716431</v>
      </c>
      <c r="F30" s="627">
        <v>0.7561917549846657</v>
      </c>
      <c r="G30" s="651">
        <v>33.589037</v>
      </c>
      <c r="H30" s="627">
        <v>1.0268830832013272</v>
      </c>
      <c r="I30" s="627">
        <v>0.9009607041513502</v>
      </c>
      <c r="J30" s="627">
        <v>0.9044052630338077</v>
      </c>
      <c r="K30" s="627">
        <v>1.0237118980754558</v>
      </c>
      <c r="L30" s="627">
        <v>0.8565795082965965</v>
      </c>
      <c r="M30" s="627"/>
      <c r="N30" s="630">
        <v>-0.037962679197793725</v>
      </c>
      <c r="P30" s="626">
        <v>0.8558895382744917</v>
      </c>
      <c r="Q30" s="627">
        <v>0.9282783301306687</v>
      </c>
      <c r="R30" s="650">
        <v>0.7615492335216303</v>
      </c>
      <c r="S30" s="650">
        <v>0.8681717491887649</v>
      </c>
      <c r="T30" s="650">
        <v>0.7143605581985676</v>
      </c>
      <c r="U30" s="565">
        <v>21.628007</v>
      </c>
      <c r="V30" s="627">
        <v>1.0845772598203687</v>
      </c>
      <c r="W30" s="627">
        <v>0.8203888950143122</v>
      </c>
      <c r="X30" s="627">
        <v>1.1400073835989308</v>
      </c>
      <c r="Y30" s="627">
        <v>0.8228332226498717</v>
      </c>
      <c r="Z30" s="627">
        <v>0.8346410678634392</v>
      </c>
      <c r="AA30" s="627"/>
      <c r="AB30" s="630">
        <v>-0.04418258852049606</v>
      </c>
    </row>
    <row r="31" spans="1:28" ht="9" customHeight="1">
      <c r="A31" s="625"/>
      <c r="B31" s="626"/>
      <c r="C31" s="650"/>
      <c r="D31" s="650"/>
      <c r="E31" s="627"/>
      <c r="F31" s="627"/>
      <c r="G31" s="651"/>
      <c r="H31" s="627"/>
      <c r="I31" s="627"/>
      <c r="J31" s="627"/>
      <c r="K31" s="627"/>
      <c r="L31" s="627"/>
      <c r="M31" s="627"/>
      <c r="N31" s="630"/>
      <c r="P31" s="626"/>
      <c r="Q31" s="627"/>
      <c r="R31" s="650"/>
      <c r="S31" s="650"/>
      <c r="T31" s="650"/>
      <c r="U31" s="565"/>
      <c r="V31" s="627"/>
      <c r="W31" s="627"/>
      <c r="X31" s="627"/>
      <c r="Y31" s="627"/>
      <c r="Z31" s="627"/>
      <c r="AA31" s="627"/>
      <c r="AB31" s="630"/>
    </row>
    <row r="32" spans="1:28" ht="12.75">
      <c r="A32" s="625" t="s">
        <v>22</v>
      </c>
      <c r="B32" s="626">
        <v>1.0365199199013502</v>
      </c>
      <c r="C32" s="650">
        <v>0.9814263006093754</v>
      </c>
      <c r="D32" s="650">
        <v>1.0251297477775771</v>
      </c>
      <c r="E32" s="627">
        <v>1.0987744768822074</v>
      </c>
      <c r="F32" s="627">
        <v>0.9034835072649753</v>
      </c>
      <c r="G32" s="651">
        <v>34.940889999999996</v>
      </c>
      <c r="H32" s="627">
        <v>0.9468475055479704</v>
      </c>
      <c r="I32" s="627">
        <v>1.0445305441081678</v>
      </c>
      <c r="J32" s="627">
        <v>1.0718394225358183</v>
      </c>
      <c r="K32" s="627">
        <v>0.8222647379183999</v>
      </c>
      <c r="L32" s="627">
        <v>0.871650886700724</v>
      </c>
      <c r="M32" s="627"/>
      <c r="N32" s="630">
        <v>-0.03375859432179684</v>
      </c>
      <c r="P32" s="626">
        <v>1.028490734631395</v>
      </c>
      <c r="Q32" s="627">
        <v>0.8609378093894223</v>
      </c>
      <c r="R32" s="650">
        <v>1.1038911191668375</v>
      </c>
      <c r="S32" s="650">
        <v>0.9685023882800057</v>
      </c>
      <c r="T32" s="650">
        <v>0.7206376250864271</v>
      </c>
      <c r="U32" s="565">
        <v>19.629197</v>
      </c>
      <c r="V32" s="627">
        <v>0.8370885418797451</v>
      </c>
      <c r="W32" s="627">
        <v>1.2821961204720673</v>
      </c>
      <c r="X32" s="627">
        <v>0.8773531840812194</v>
      </c>
      <c r="Y32" s="627">
        <v>0.7440741848517591</v>
      </c>
      <c r="Z32" s="627">
        <v>0.7006748829338744</v>
      </c>
      <c r="AA32" s="627"/>
      <c r="AB32" s="630">
        <v>-0.08508839275907332</v>
      </c>
    </row>
    <row r="33" spans="1:28" ht="9" customHeight="1">
      <c r="A33" s="625"/>
      <c r="B33" s="626"/>
      <c r="C33" s="650"/>
      <c r="D33" s="650"/>
      <c r="G33" s="651"/>
      <c r="H33" s="627"/>
      <c r="I33" s="627"/>
      <c r="J33" s="627"/>
      <c r="K33" s="627"/>
      <c r="L33" s="627"/>
      <c r="M33" s="627"/>
      <c r="N33" s="630"/>
      <c r="P33" s="626"/>
      <c r="Q33" s="627"/>
      <c r="R33" s="650"/>
      <c r="S33" s="650"/>
      <c r="T33" s="650"/>
      <c r="U33" s="565"/>
      <c r="V33" s="627"/>
      <c r="W33" s="627"/>
      <c r="X33" s="627"/>
      <c r="Y33" s="627"/>
      <c r="Z33" s="627"/>
      <c r="AA33" s="627"/>
      <c r="AB33" s="630"/>
    </row>
    <row r="34" spans="1:28" ht="12.75">
      <c r="A34" s="631" t="s">
        <v>96</v>
      </c>
      <c r="B34" s="632">
        <v>1.0168305852063642</v>
      </c>
      <c r="C34" s="652">
        <v>0.9262239216151408</v>
      </c>
      <c r="D34" s="652">
        <v>1.203071583739943</v>
      </c>
      <c r="E34" s="633">
        <v>1.2728918161722307</v>
      </c>
      <c r="F34" s="633">
        <v>1.3371325987138614</v>
      </c>
      <c r="G34" s="653">
        <v>26.607704</v>
      </c>
      <c r="H34" s="633">
        <v>0.9108930583821543</v>
      </c>
      <c r="I34" s="633">
        <v>1.2988992787424858</v>
      </c>
      <c r="J34" s="633">
        <v>1.0580349776155797</v>
      </c>
      <c r="K34" s="633">
        <v>1.0504683758080966</v>
      </c>
      <c r="L34" s="633">
        <v>1.31500037289151</v>
      </c>
      <c r="M34" s="633"/>
      <c r="N34" s="635">
        <v>0.07085697303906313</v>
      </c>
      <c r="P34" s="632">
        <v>0.9182950671333382</v>
      </c>
      <c r="Q34" s="633">
        <v>0.9496705054896074</v>
      </c>
      <c r="R34" s="652">
        <v>0.9725205908831736</v>
      </c>
      <c r="S34" s="652">
        <v>1.0962006522426848</v>
      </c>
      <c r="T34" s="652">
        <v>1.2477853278062996</v>
      </c>
      <c r="U34" s="654">
        <v>17.289311</v>
      </c>
      <c r="V34" s="633">
        <v>1.0341670553172138</v>
      </c>
      <c r="W34" s="633">
        <v>1.0240610667189096</v>
      </c>
      <c r="X34" s="633">
        <v>1.1271747482973022</v>
      </c>
      <c r="Y34" s="633">
        <v>1.1382818695222376</v>
      </c>
      <c r="Z34" s="633">
        <v>1.3588065235954478</v>
      </c>
      <c r="AA34" s="633"/>
      <c r="AB34" s="635">
        <v>0.07966595198316462</v>
      </c>
    </row>
    <row r="35" spans="1:28" ht="4.5" customHeight="1">
      <c r="A35" s="625"/>
      <c r="B35" s="626"/>
      <c r="C35" s="650"/>
      <c r="D35" s="650"/>
      <c r="E35" s="627"/>
      <c r="F35" s="627"/>
      <c r="G35" s="650"/>
      <c r="H35" s="627"/>
      <c r="I35" s="627"/>
      <c r="J35" s="627"/>
      <c r="K35" s="627"/>
      <c r="L35" s="627"/>
      <c r="M35" s="627"/>
      <c r="N35" s="630"/>
      <c r="P35" s="626"/>
      <c r="Q35" s="627"/>
      <c r="R35" s="650"/>
      <c r="S35" s="650"/>
      <c r="T35" s="650"/>
      <c r="U35" s="565"/>
      <c r="V35" s="627"/>
      <c r="W35" s="627"/>
      <c r="X35" s="627"/>
      <c r="Y35" s="627"/>
      <c r="Z35" s="627"/>
      <c r="AA35" s="627"/>
      <c r="AB35" s="630"/>
    </row>
    <row r="36" spans="1:28" ht="13.5" thickBot="1">
      <c r="A36" s="637" t="s">
        <v>84</v>
      </c>
      <c r="B36" s="642">
        <v>0.8674043224375287</v>
      </c>
      <c r="C36" s="655">
        <v>0.8356908162934231</v>
      </c>
      <c r="D36" s="655">
        <v>0.8409375719133503</v>
      </c>
      <c r="E36" s="639">
        <v>0.8165561816959033</v>
      </c>
      <c r="F36" s="639">
        <v>0.8053280718008183</v>
      </c>
      <c r="G36" s="656">
        <v>171.328531</v>
      </c>
      <c r="H36" s="639">
        <v>0.9634386118171672</v>
      </c>
      <c r="I36" s="639">
        <v>1.0062783454330615</v>
      </c>
      <c r="J36" s="639">
        <v>0.9710068963122042</v>
      </c>
      <c r="K36" s="639">
        <v>0.9862494337232678</v>
      </c>
      <c r="L36" s="639">
        <v>0.9284344693345921</v>
      </c>
      <c r="M36" s="639"/>
      <c r="N36" s="641">
        <v>-0.018392622083388765</v>
      </c>
      <c r="P36" s="638">
        <v>0.8570715726013651</v>
      </c>
      <c r="Q36" s="643">
        <v>0.807108763880348</v>
      </c>
      <c r="R36" s="655">
        <v>0.819568746755999</v>
      </c>
      <c r="S36" s="655">
        <v>0.8212088024435875</v>
      </c>
      <c r="T36" s="655">
        <v>0.755231001256091</v>
      </c>
      <c r="U36" s="656">
        <v>109.249243</v>
      </c>
      <c r="V36" s="639">
        <v>0.9417052083884068</v>
      </c>
      <c r="W36" s="639">
        <v>1.0154377990095746</v>
      </c>
      <c r="X36" s="639">
        <v>1.0020011203380805</v>
      </c>
      <c r="Y36" s="639">
        <v>0.9196577033865527</v>
      </c>
      <c r="Z36" s="639">
        <v>0.8811761180735819</v>
      </c>
      <c r="AA36" s="639"/>
      <c r="AB36" s="641">
        <v>-0.0311296187361072</v>
      </c>
    </row>
    <row r="37" ht="13.5" thickTop="1"/>
    <row r="38" spans="5:24" ht="15.75">
      <c r="E38" s="732" t="s">
        <v>141</v>
      </c>
      <c r="F38" s="732"/>
      <c r="G38" s="732"/>
      <c r="H38" s="732"/>
      <c r="I38" s="732"/>
      <c r="J38" s="732"/>
      <c r="K38" s="732"/>
      <c r="L38" s="732"/>
      <c r="M38" s="732"/>
      <c r="N38" s="732"/>
      <c r="O38" s="732"/>
      <c r="P38" s="732"/>
      <c r="Q38" s="732"/>
      <c r="R38" s="732"/>
      <c r="S38" s="732"/>
      <c r="T38" s="732"/>
      <c r="U38" s="732"/>
      <c r="V38" s="732"/>
      <c r="W38" s="732"/>
      <c r="X38" s="732"/>
    </row>
    <row r="39" spans="1:28" ht="18" customHeight="1">
      <c r="A39" s="616"/>
      <c r="B39" s="729" t="s">
        <v>268</v>
      </c>
      <c r="C39" s="729"/>
      <c r="D39" s="729"/>
      <c r="E39" s="729"/>
      <c r="F39" s="729"/>
      <c r="G39" s="729"/>
      <c r="H39" s="729"/>
      <c r="I39" s="729"/>
      <c r="J39" s="729"/>
      <c r="K39" s="729"/>
      <c r="L39" s="729"/>
      <c r="M39" s="729"/>
      <c r="N39" s="729"/>
      <c r="O39" s="616"/>
      <c r="P39" s="729" t="s">
        <v>269</v>
      </c>
      <c r="Q39" s="729"/>
      <c r="R39" s="729"/>
      <c r="S39" s="729"/>
      <c r="T39" s="729"/>
      <c r="U39" s="729"/>
      <c r="V39" s="729"/>
      <c r="W39" s="729"/>
      <c r="X39" s="729"/>
      <c r="Y39" s="729"/>
      <c r="Z39" s="729"/>
      <c r="AA39" s="729"/>
      <c r="AB39" s="729"/>
    </row>
    <row r="40" spans="1:28" ht="27">
      <c r="A40" s="617"/>
      <c r="B40" s="730" t="s">
        <v>81</v>
      </c>
      <c r="C40" s="726"/>
      <c r="D40" s="726"/>
      <c r="E40" s="726"/>
      <c r="F40" s="726"/>
      <c r="G40" s="618" t="s">
        <v>128</v>
      </c>
      <c r="H40" s="726" t="s">
        <v>143</v>
      </c>
      <c r="I40" s="726"/>
      <c r="J40" s="726"/>
      <c r="K40" s="726"/>
      <c r="L40" s="726"/>
      <c r="M40" s="618"/>
      <c r="N40" s="619" t="s">
        <v>265</v>
      </c>
      <c r="P40" s="730" t="s">
        <v>81</v>
      </c>
      <c r="Q40" s="726"/>
      <c r="R40" s="726"/>
      <c r="S40" s="726"/>
      <c r="T40" s="726"/>
      <c r="U40" s="618" t="s">
        <v>128</v>
      </c>
      <c r="V40" s="726" t="s">
        <v>143</v>
      </c>
      <c r="W40" s="726"/>
      <c r="X40" s="726"/>
      <c r="Y40" s="726"/>
      <c r="Z40" s="726"/>
      <c r="AA40" s="618"/>
      <c r="AB40" s="619" t="s">
        <v>265</v>
      </c>
    </row>
    <row r="41" spans="1:28" ht="12.75">
      <c r="A41" s="609" t="s">
        <v>11</v>
      </c>
      <c r="B41" s="620">
        <v>2003</v>
      </c>
      <c r="C41" s="621">
        <v>2004</v>
      </c>
      <c r="D41" s="621">
        <v>2005</v>
      </c>
      <c r="E41" s="621">
        <v>2006</v>
      </c>
      <c r="F41" s="621">
        <v>2007</v>
      </c>
      <c r="G41" s="621">
        <v>2007</v>
      </c>
      <c r="H41" s="622" t="s">
        <v>89</v>
      </c>
      <c r="I41" s="623" t="s">
        <v>90</v>
      </c>
      <c r="J41" s="623" t="s">
        <v>91</v>
      </c>
      <c r="K41" s="623" t="s">
        <v>92</v>
      </c>
      <c r="L41" s="623" t="s">
        <v>93</v>
      </c>
      <c r="M41" s="623"/>
      <c r="N41" s="624" t="s">
        <v>93</v>
      </c>
      <c r="P41" s="620">
        <v>2003</v>
      </c>
      <c r="Q41" s="621">
        <v>2004</v>
      </c>
      <c r="R41" s="621">
        <v>2005</v>
      </c>
      <c r="S41" s="621">
        <v>2006</v>
      </c>
      <c r="T41" s="621">
        <v>2007</v>
      </c>
      <c r="U41" s="621">
        <v>2007</v>
      </c>
      <c r="V41" s="622" t="s">
        <v>89</v>
      </c>
      <c r="W41" s="623" t="s">
        <v>90</v>
      </c>
      <c r="X41" s="623" t="s">
        <v>91</v>
      </c>
      <c r="Y41" s="623" t="s">
        <v>92</v>
      </c>
      <c r="Z41" s="623" t="s">
        <v>93</v>
      </c>
      <c r="AA41" s="623"/>
      <c r="AB41" s="624" t="s">
        <v>93</v>
      </c>
    </row>
    <row r="42" spans="1:28" s="629" customFormat="1" ht="12.75">
      <c r="A42" s="625" t="s">
        <v>95</v>
      </c>
      <c r="B42" s="626">
        <v>0.8246479850275071</v>
      </c>
      <c r="C42" s="650">
        <v>0.8246408642048305</v>
      </c>
      <c r="D42" s="650">
        <v>0.7183780034900263</v>
      </c>
      <c r="E42" s="627">
        <v>0.8049239521995073</v>
      </c>
      <c r="F42" s="627">
        <v>0.7556554790538664</v>
      </c>
      <c r="G42" s="571">
        <v>1076</v>
      </c>
      <c r="H42" s="564">
        <f>+C42/B42</f>
        <v>0.9999913650153691</v>
      </c>
      <c r="I42" s="564">
        <f>+D42/C42</f>
        <v>0.8711404378228705</v>
      </c>
      <c r="J42" s="564">
        <f>+E42/D42</f>
        <v>1.1204741073488096</v>
      </c>
      <c r="K42" s="564">
        <f>+F42/E42</f>
        <v>0.9387911454106794</v>
      </c>
      <c r="L42" s="564">
        <f>+B42</f>
        <v>0.8246479850275071</v>
      </c>
      <c r="M42" s="627"/>
      <c r="N42" s="628">
        <v>-0.02160593770924213</v>
      </c>
      <c r="P42" s="626">
        <v>0.8127432407962712</v>
      </c>
      <c r="Q42" s="627">
        <v>0.8013980989232402</v>
      </c>
      <c r="R42" s="627">
        <v>0.7285743796037895</v>
      </c>
      <c r="S42" s="627">
        <v>0.7990308531113669</v>
      </c>
      <c r="T42" s="627">
        <v>0.7579990226231441</v>
      </c>
      <c r="U42" s="571">
        <v>892</v>
      </c>
      <c r="V42" s="627">
        <v>0.9860409274374083</v>
      </c>
      <c r="W42" s="627">
        <v>0.9091291588820877</v>
      </c>
      <c r="X42" s="627">
        <v>1.0967045719421165</v>
      </c>
      <c r="Y42" s="627">
        <v>0.9486480023537917</v>
      </c>
      <c r="Z42" s="627">
        <v>0.9326426656966197</v>
      </c>
      <c r="AA42" s="627"/>
      <c r="AB42" s="630">
        <v>-0.017282206091768115</v>
      </c>
    </row>
    <row r="43" spans="1:28" s="629" customFormat="1" ht="9" customHeight="1">
      <c r="A43" s="625"/>
      <c r="B43" s="626"/>
      <c r="C43" s="650"/>
      <c r="D43" s="650"/>
      <c r="E43" s="627"/>
      <c r="F43" s="627"/>
      <c r="G43" s="571"/>
      <c r="H43" s="627"/>
      <c r="I43" s="627"/>
      <c r="J43" s="627"/>
      <c r="K43" s="627"/>
      <c r="L43" s="627"/>
      <c r="M43" s="627"/>
      <c r="N43" s="628"/>
      <c r="P43" s="657"/>
      <c r="U43" s="572"/>
      <c r="V43" s="627"/>
      <c r="W43" s="627"/>
      <c r="X43" s="627"/>
      <c r="Y43" s="627"/>
      <c r="Z43" s="627"/>
      <c r="AA43" s="627"/>
      <c r="AB43" s="630"/>
    </row>
    <row r="44" spans="1:28" s="629" customFormat="1" ht="12.75">
      <c r="A44" s="625" t="s">
        <v>20</v>
      </c>
      <c r="B44" s="626">
        <v>0.8174096240326868</v>
      </c>
      <c r="C44" s="650">
        <v>0.8809403314443299</v>
      </c>
      <c r="D44" s="650">
        <v>0.8722445386022004</v>
      </c>
      <c r="E44" s="627">
        <v>0.865067664464183</v>
      </c>
      <c r="F44" s="627">
        <v>0.8508074840205719</v>
      </c>
      <c r="G44" s="571">
        <v>1916</v>
      </c>
      <c r="H44" s="627">
        <f>+C44/B44</f>
        <v>1.0777219958559023</v>
      </c>
      <c r="I44" s="627">
        <f>+D44/C44</f>
        <v>0.9901289650028028</v>
      </c>
      <c r="J44" s="627">
        <f>+E44/D44</f>
        <v>0.9917719471772004</v>
      </c>
      <c r="K44" s="627">
        <f>+F44/E44</f>
        <v>0.9835155317561849</v>
      </c>
      <c r="L44" s="627">
        <f>+B44</f>
        <v>0.8174096240326868</v>
      </c>
      <c r="M44" s="627"/>
      <c r="N44" s="630">
        <v>0.010061665237578676</v>
      </c>
      <c r="P44" s="626">
        <v>0.8235917091646686</v>
      </c>
      <c r="Q44" s="627">
        <v>0.8855094667952861</v>
      </c>
      <c r="R44" s="627">
        <v>0.88868254016318</v>
      </c>
      <c r="S44" s="627">
        <v>0.879500017811746</v>
      </c>
      <c r="T44" s="627">
        <v>0.8519855038695449</v>
      </c>
      <c r="U44" s="572">
        <v>1586</v>
      </c>
      <c r="V44" s="627">
        <v>1.0751801614096113</v>
      </c>
      <c r="W44" s="627">
        <v>1.003583330824658</v>
      </c>
      <c r="X44" s="627">
        <v>0.9896672636892946</v>
      </c>
      <c r="Y44" s="627">
        <v>0.96871573236501</v>
      </c>
      <c r="Z44" s="627">
        <v>1.0344755713163682</v>
      </c>
      <c r="AA44" s="627"/>
      <c r="AB44" s="630">
        <v>0.008509653981921383</v>
      </c>
    </row>
    <row r="45" spans="1:28" s="629" customFormat="1" ht="9" customHeight="1">
      <c r="A45" s="625"/>
      <c r="B45" s="626"/>
      <c r="C45" s="650"/>
      <c r="D45" s="650"/>
      <c r="E45" s="627"/>
      <c r="F45" s="627"/>
      <c r="G45" s="571"/>
      <c r="H45" s="627"/>
      <c r="I45" s="627"/>
      <c r="J45" s="627"/>
      <c r="K45" s="627"/>
      <c r="L45" s="627"/>
      <c r="M45" s="627"/>
      <c r="N45" s="630"/>
      <c r="P45" s="657"/>
      <c r="U45" s="572"/>
      <c r="V45" s="627"/>
      <c r="W45" s="627"/>
      <c r="X45" s="627"/>
      <c r="Y45" s="627"/>
      <c r="Z45" s="627"/>
      <c r="AA45" s="627"/>
      <c r="AB45" s="630"/>
    </row>
    <row r="46" spans="1:28" s="629" customFormat="1" ht="12.75">
      <c r="A46" s="625" t="s">
        <v>21</v>
      </c>
      <c r="B46" s="626">
        <v>1.0735414098346914</v>
      </c>
      <c r="C46" s="650">
        <v>1.042184744060354</v>
      </c>
      <c r="D46" s="650">
        <v>1.0088986465104806</v>
      </c>
      <c r="E46" s="627">
        <v>1.0182638930306367</v>
      </c>
      <c r="F46" s="627">
        <v>1.0430587910920088</v>
      </c>
      <c r="G46" s="571">
        <v>3072</v>
      </c>
      <c r="H46" s="627">
        <f>+C46/B46</f>
        <v>0.9707913775033924</v>
      </c>
      <c r="I46" s="627">
        <f>+D46/C46</f>
        <v>0.9680612312360372</v>
      </c>
      <c r="J46" s="627">
        <f>+E46/D46</f>
        <v>1.0092826435564644</v>
      </c>
      <c r="K46" s="627">
        <f>+F46/E46</f>
        <v>1.024350169176259</v>
      </c>
      <c r="L46" s="627">
        <f>+B46</f>
        <v>1.0735414098346914</v>
      </c>
      <c r="M46" s="627"/>
      <c r="N46" s="630">
        <v>-0.007175475079658988</v>
      </c>
      <c r="P46" s="626">
        <v>1.0999494542696917</v>
      </c>
      <c r="Q46" s="627">
        <v>1.0569973261662848</v>
      </c>
      <c r="R46" s="627">
        <v>1.0437517280767443</v>
      </c>
      <c r="S46" s="627">
        <v>1.0412831706538908</v>
      </c>
      <c r="T46" s="627">
        <v>1.0412260270891744</v>
      </c>
      <c r="U46" s="572">
        <v>2616</v>
      </c>
      <c r="V46" s="627">
        <v>0.9609508164791765</v>
      </c>
      <c r="W46" s="627">
        <v>0.9874686550650207</v>
      </c>
      <c r="X46" s="627">
        <v>0.997634918959701</v>
      </c>
      <c r="Y46" s="627">
        <v>0.9999451219741884</v>
      </c>
      <c r="Z46" s="627">
        <v>0.946612613013653</v>
      </c>
      <c r="AA46" s="627"/>
      <c r="AB46" s="630">
        <v>-0.0136226939735552</v>
      </c>
    </row>
    <row r="47" spans="1:28" s="629" customFormat="1" ht="9" customHeight="1">
      <c r="A47" s="625"/>
      <c r="B47" s="626"/>
      <c r="C47" s="650"/>
      <c r="D47" s="650"/>
      <c r="E47" s="627"/>
      <c r="F47" s="627"/>
      <c r="G47" s="571"/>
      <c r="H47" s="627"/>
      <c r="I47" s="627"/>
      <c r="J47" s="627"/>
      <c r="K47" s="627"/>
      <c r="L47" s="627"/>
      <c r="M47" s="627"/>
      <c r="N47" s="630"/>
      <c r="P47" s="657"/>
      <c r="U47" s="572"/>
      <c r="V47" s="627"/>
      <c r="W47" s="627"/>
      <c r="X47" s="627"/>
      <c r="Y47" s="627"/>
      <c r="Z47" s="627"/>
      <c r="AA47" s="627"/>
      <c r="AB47" s="630"/>
    </row>
    <row r="48" spans="1:28" s="629" customFormat="1" ht="12.75">
      <c r="A48" s="625" t="s">
        <v>22</v>
      </c>
      <c r="B48" s="626">
        <v>1.0510762074395599</v>
      </c>
      <c r="C48" s="650">
        <v>1.073703855188287</v>
      </c>
      <c r="D48" s="650">
        <v>1.031387274553572</v>
      </c>
      <c r="E48" s="627">
        <v>1.020660936105125</v>
      </c>
      <c r="F48" s="627">
        <v>1.061130114182906</v>
      </c>
      <c r="G48" s="571">
        <v>3600</v>
      </c>
      <c r="H48" s="627">
        <f>+C48/B48</f>
        <v>1.0215280753084959</v>
      </c>
      <c r="I48" s="627">
        <f>+D48/C48</f>
        <v>0.9605882195260496</v>
      </c>
      <c r="J48" s="627">
        <f>+E48/D48</f>
        <v>0.9896000864921572</v>
      </c>
      <c r="K48" s="627">
        <f>+F48/E48</f>
        <v>1.0396499725287935</v>
      </c>
      <c r="L48" s="627">
        <f>+B48</f>
        <v>1.0510762074395599</v>
      </c>
      <c r="M48" s="627"/>
      <c r="N48" s="630">
        <v>0.0023828061125423794</v>
      </c>
      <c r="P48" s="626">
        <v>1.0697225364297902</v>
      </c>
      <c r="Q48" s="627">
        <v>1.0910247799976984</v>
      </c>
      <c r="R48" s="627">
        <v>1.067346955986862</v>
      </c>
      <c r="S48" s="627">
        <v>1.0386451927832459</v>
      </c>
      <c r="T48" s="627">
        <v>1.0550045681201698</v>
      </c>
      <c r="U48" s="572">
        <v>3190</v>
      </c>
      <c r="V48" s="627">
        <v>1.0199138027315051</v>
      </c>
      <c r="W48" s="627">
        <v>0.9782976294902428</v>
      </c>
      <c r="X48" s="627">
        <v>0.9731092471453402</v>
      </c>
      <c r="Y48" s="627">
        <v>1.0157506870012905</v>
      </c>
      <c r="Z48" s="627">
        <v>0.9862413216433285</v>
      </c>
      <c r="AA48" s="627"/>
      <c r="AB48" s="630">
        <v>-0.0034575603763516982</v>
      </c>
    </row>
    <row r="49" spans="1:28" s="629" customFormat="1" ht="9" customHeight="1">
      <c r="A49" s="625"/>
      <c r="B49" s="626"/>
      <c r="C49" s="650"/>
      <c r="D49" s="650"/>
      <c r="E49" s="627"/>
      <c r="F49" s="627"/>
      <c r="G49" s="571"/>
      <c r="H49" s="627"/>
      <c r="I49" s="627"/>
      <c r="J49" s="627"/>
      <c r="K49" s="627"/>
      <c r="L49" s="627"/>
      <c r="M49" s="627"/>
      <c r="N49" s="630"/>
      <c r="P49" s="626"/>
      <c r="Q49" s="627"/>
      <c r="R49" s="627"/>
      <c r="S49" s="627"/>
      <c r="T49" s="627"/>
      <c r="U49" s="572"/>
      <c r="V49" s="627"/>
      <c r="W49" s="627"/>
      <c r="X49" s="627"/>
      <c r="Y49" s="627"/>
      <c r="Z49" s="627"/>
      <c r="AA49" s="627"/>
      <c r="AB49" s="630"/>
    </row>
    <row r="50" spans="1:28" s="629" customFormat="1" ht="12.75">
      <c r="A50" s="631" t="s">
        <v>96</v>
      </c>
      <c r="B50" s="632">
        <v>1.139774778711158</v>
      </c>
      <c r="C50" s="652">
        <v>1.1680504574200625</v>
      </c>
      <c r="D50" s="652">
        <v>1.1697772090580942</v>
      </c>
      <c r="E50" s="633">
        <v>1.0148613611326547</v>
      </c>
      <c r="F50" s="633">
        <v>1.1944259580484635</v>
      </c>
      <c r="G50" s="634">
        <v>500</v>
      </c>
      <c r="H50" s="633">
        <f>+C50/B50</f>
        <v>1.0248081280942873</v>
      </c>
      <c r="I50" s="633">
        <f>+D50/C50</f>
        <v>1.0014783193885697</v>
      </c>
      <c r="J50" s="633">
        <f>+E50/D50</f>
        <v>0.867568074736062</v>
      </c>
      <c r="K50" s="633">
        <f>+F50/E50</f>
        <v>1.1769351004903787</v>
      </c>
      <c r="L50" s="633">
        <f>+B50</f>
        <v>1.139774778711158</v>
      </c>
      <c r="M50" s="633"/>
      <c r="N50" s="635">
        <v>0.011777570736506426</v>
      </c>
      <c r="P50" s="632">
        <v>1.3502911902951873</v>
      </c>
      <c r="Q50" s="633">
        <v>1.3370658490277865</v>
      </c>
      <c r="R50" s="633">
        <v>1.3657378471022725</v>
      </c>
      <c r="S50" s="633">
        <v>1.1055171815416374</v>
      </c>
      <c r="T50" s="633">
        <v>1.1932492294955814</v>
      </c>
      <c r="U50" s="636">
        <v>403</v>
      </c>
      <c r="V50" s="633">
        <v>0.990205563538847</v>
      </c>
      <c r="W50" s="633">
        <v>1.0214439685938685</v>
      </c>
      <c r="X50" s="633">
        <v>0.8094651428802729</v>
      </c>
      <c r="Y50" s="633">
        <v>1.0793583758070608</v>
      </c>
      <c r="Z50" s="633">
        <v>0.8836977076290671</v>
      </c>
      <c r="AA50" s="633"/>
      <c r="AB50" s="635">
        <v>-0.03043722704177476</v>
      </c>
    </row>
    <row r="51" spans="1:28" s="629" customFormat="1" ht="4.5" customHeight="1">
      <c r="A51" s="625"/>
      <c r="B51" s="626"/>
      <c r="C51" s="650"/>
      <c r="D51" s="650"/>
      <c r="E51" s="627"/>
      <c r="F51" s="627"/>
      <c r="G51" s="627"/>
      <c r="H51" s="627"/>
      <c r="I51" s="627"/>
      <c r="J51" s="627"/>
      <c r="K51" s="627"/>
      <c r="L51" s="627"/>
      <c r="M51" s="627"/>
      <c r="N51" s="630"/>
      <c r="P51" s="626"/>
      <c r="Q51" s="627"/>
      <c r="R51" s="650"/>
      <c r="S51" s="650"/>
      <c r="T51" s="650"/>
      <c r="U51" s="572"/>
      <c r="V51" s="627"/>
      <c r="W51" s="627"/>
      <c r="X51" s="627"/>
      <c r="Y51" s="627"/>
      <c r="Z51" s="627"/>
      <c r="AA51" s="627"/>
      <c r="AB51" s="630"/>
    </row>
    <row r="52" spans="1:28" ht="13.5" thickBot="1">
      <c r="A52" s="637" t="s">
        <v>84</v>
      </c>
      <c r="B52" s="642">
        <v>0.9919149575234926</v>
      </c>
      <c r="C52" s="655">
        <v>1.0024604362825371</v>
      </c>
      <c r="D52" s="655">
        <v>0.9615644369649095</v>
      </c>
      <c r="E52" s="639">
        <v>0.9598407983752925</v>
      </c>
      <c r="F52" s="639">
        <v>0.9742806669153614</v>
      </c>
      <c r="G52" s="640">
        <v>10164</v>
      </c>
      <c r="H52" s="639">
        <f>+C52/B52</f>
        <v>1.0106314343574103</v>
      </c>
      <c r="I52" s="639">
        <f>+D52/C52</f>
        <v>0.9592043757165282</v>
      </c>
      <c r="J52" s="639">
        <f>+E52/D52</f>
        <v>0.9982074642911529</v>
      </c>
      <c r="K52" s="639">
        <f>+F52/E52</f>
        <v>1.0150440245554377</v>
      </c>
      <c r="L52" s="639">
        <f>+B52</f>
        <v>0.9919149575234926</v>
      </c>
      <c r="M52" s="639"/>
      <c r="N52" s="641">
        <v>-0.004474448226381655</v>
      </c>
      <c r="P52" s="642">
        <v>1.012354470503514</v>
      </c>
      <c r="Q52" s="643">
        <v>1.0156027562589378</v>
      </c>
      <c r="R52" s="643">
        <v>0.9916535512337943</v>
      </c>
      <c r="S52" s="643">
        <v>0.9765784826766734</v>
      </c>
      <c r="T52" s="643">
        <v>0.9747360555131754</v>
      </c>
      <c r="U52" s="644">
        <v>8687</v>
      </c>
      <c r="V52" s="639">
        <f>Q52/P52</f>
        <v>1.0032086446497424</v>
      </c>
      <c r="W52" s="639">
        <f>R52/Q52</f>
        <v>0.9764187278170035</v>
      </c>
      <c r="X52" s="639">
        <f>S52/R52</f>
        <v>0.9847980491388703</v>
      </c>
      <c r="Y52" s="639">
        <f>T52/S52</f>
        <v>0.9981133854614039</v>
      </c>
      <c r="Z52" s="639">
        <f>T52/P52</f>
        <v>0.9628406688700369</v>
      </c>
      <c r="AA52" s="639"/>
      <c r="AB52" s="641">
        <f>((T52/P52)^0.25)-1</f>
        <v>-0.009422164042597547</v>
      </c>
    </row>
    <row r="53" spans="1:18" ht="13.5" thickTop="1">
      <c r="A53" s="625"/>
      <c r="B53" s="645"/>
      <c r="C53" s="645"/>
      <c r="D53" s="646"/>
      <c r="E53" s="646"/>
      <c r="F53" s="646"/>
      <c r="G53" s="646"/>
      <c r="H53" s="646"/>
      <c r="I53" s="646"/>
      <c r="J53" s="646"/>
      <c r="K53" s="646"/>
      <c r="L53" s="646"/>
      <c r="M53" s="646"/>
      <c r="N53" s="646"/>
      <c r="P53" s="646"/>
      <c r="Q53" s="646"/>
      <c r="R53" s="646"/>
    </row>
    <row r="54" spans="1:28" ht="12.75">
      <c r="A54" s="625"/>
      <c r="B54" s="727" t="s">
        <v>259</v>
      </c>
      <c r="C54" s="727"/>
      <c r="D54" s="727"/>
      <c r="E54" s="727"/>
      <c r="F54" s="727"/>
      <c r="G54" s="727"/>
      <c r="H54" s="727"/>
      <c r="I54" s="727"/>
      <c r="J54" s="727"/>
      <c r="K54" s="727"/>
      <c r="L54" s="727"/>
      <c r="M54" s="727"/>
      <c r="N54" s="727"/>
      <c r="P54" s="728" t="s">
        <v>260</v>
      </c>
      <c r="Q54" s="728"/>
      <c r="R54" s="728"/>
      <c r="S54" s="728"/>
      <c r="T54" s="728"/>
      <c r="U54" s="728"/>
      <c r="V54" s="728"/>
      <c r="W54" s="728"/>
      <c r="X54" s="728"/>
      <c r="Y54" s="728"/>
      <c r="Z54" s="728"/>
      <c r="AA54" s="728"/>
      <c r="AB54" s="728"/>
    </row>
    <row r="55" spans="1:28" s="648" customFormat="1" ht="27">
      <c r="A55" s="647"/>
      <c r="B55" s="730" t="s">
        <v>81</v>
      </c>
      <c r="C55" s="726"/>
      <c r="D55" s="726"/>
      <c r="E55" s="726"/>
      <c r="F55" s="726"/>
      <c r="G55" s="618" t="s">
        <v>129</v>
      </c>
      <c r="H55" s="726" t="s">
        <v>143</v>
      </c>
      <c r="I55" s="726"/>
      <c r="J55" s="726"/>
      <c r="K55" s="726"/>
      <c r="L55" s="726"/>
      <c r="M55" s="618"/>
      <c r="N55" s="619" t="s">
        <v>265</v>
      </c>
      <c r="P55" s="730" t="s">
        <v>81</v>
      </c>
      <c r="Q55" s="726"/>
      <c r="R55" s="726"/>
      <c r="S55" s="726"/>
      <c r="T55" s="726"/>
      <c r="U55" s="618" t="s">
        <v>129</v>
      </c>
      <c r="V55" s="726" t="s">
        <v>143</v>
      </c>
      <c r="W55" s="726"/>
      <c r="X55" s="726"/>
      <c r="Y55" s="726"/>
      <c r="Z55" s="726"/>
      <c r="AA55" s="618"/>
      <c r="AB55" s="619" t="s">
        <v>265</v>
      </c>
    </row>
    <row r="56" spans="1:28" ht="12.75">
      <c r="A56" s="609" t="s">
        <v>11</v>
      </c>
      <c r="B56" s="620">
        <v>2003</v>
      </c>
      <c r="C56" s="621">
        <v>2004</v>
      </c>
      <c r="D56" s="621">
        <v>2005</v>
      </c>
      <c r="E56" s="621">
        <v>2006</v>
      </c>
      <c r="F56" s="621">
        <v>2007</v>
      </c>
      <c r="G56" s="621">
        <v>2007</v>
      </c>
      <c r="H56" s="622" t="s">
        <v>89</v>
      </c>
      <c r="I56" s="623" t="s">
        <v>90</v>
      </c>
      <c r="J56" s="623" t="s">
        <v>91</v>
      </c>
      <c r="K56" s="623" t="s">
        <v>92</v>
      </c>
      <c r="L56" s="623" t="s">
        <v>93</v>
      </c>
      <c r="M56" s="623"/>
      <c r="N56" s="624" t="s">
        <v>93</v>
      </c>
      <c r="O56" s="649"/>
      <c r="P56" s="620">
        <v>2003</v>
      </c>
      <c r="Q56" s="621">
        <v>2004</v>
      </c>
      <c r="R56" s="621">
        <v>2005</v>
      </c>
      <c r="S56" s="621">
        <v>2006</v>
      </c>
      <c r="T56" s="621">
        <v>2007</v>
      </c>
      <c r="U56" s="621">
        <v>2007</v>
      </c>
      <c r="V56" s="622" t="s">
        <v>89</v>
      </c>
      <c r="W56" s="623" t="s">
        <v>90</v>
      </c>
      <c r="X56" s="623" t="s">
        <v>91</v>
      </c>
      <c r="Y56" s="623" t="s">
        <v>92</v>
      </c>
      <c r="Z56" s="623" t="s">
        <v>93</v>
      </c>
      <c r="AA56" s="623"/>
      <c r="AB56" s="624" t="s">
        <v>93</v>
      </c>
    </row>
    <row r="57" spans="1:28" ht="12.75">
      <c r="A57" s="625" t="s">
        <v>95</v>
      </c>
      <c r="B57" s="626">
        <v>0.8129904436244744</v>
      </c>
      <c r="C57" s="650">
        <v>0.7996490845529453</v>
      </c>
      <c r="D57" s="650">
        <v>0.7143241477478595</v>
      </c>
      <c r="E57" s="627">
        <v>0.7950105808032195</v>
      </c>
      <c r="F57" s="627">
        <v>0.7397222057148793</v>
      </c>
      <c r="G57" s="651">
        <v>33.461801</v>
      </c>
      <c r="H57" s="564">
        <f>+C57/B57</f>
        <v>0.9835897713482945</v>
      </c>
      <c r="I57" s="564">
        <f>+D57/C57</f>
        <v>0.8932970243406357</v>
      </c>
      <c r="J57" s="564">
        <f>+E57/D57</f>
        <v>1.1129549285289464</v>
      </c>
      <c r="K57" s="564">
        <f>+F57/E57</f>
        <v>0.9304557996794446</v>
      </c>
      <c r="L57" s="564">
        <f>+B57</f>
        <v>0.8129904436244744</v>
      </c>
      <c r="M57" s="627"/>
      <c r="N57" s="628">
        <v>-0.023334596754981507</v>
      </c>
      <c r="P57" s="626">
        <v>0.8080367363603975</v>
      </c>
      <c r="Q57" s="627">
        <v>0.7541993271813933</v>
      </c>
      <c r="R57" s="650">
        <v>0.7294478367434669</v>
      </c>
      <c r="S57" s="650">
        <v>0.779694137703161</v>
      </c>
      <c r="T57" s="650">
        <v>0.7335551930586478</v>
      </c>
      <c r="U57" s="565">
        <v>26.795408</v>
      </c>
      <c r="V57" s="627">
        <v>0.9333725723640962</v>
      </c>
      <c r="W57" s="627">
        <v>0.9671817654221092</v>
      </c>
      <c r="X57" s="627">
        <v>1.0688826512722454</v>
      </c>
      <c r="Y57" s="627">
        <v>0.940824302231603</v>
      </c>
      <c r="Z57" s="627">
        <v>0.9078240630033314</v>
      </c>
      <c r="AA57" s="627"/>
      <c r="AB57" s="630">
        <v>-0.02388626792428028</v>
      </c>
    </row>
    <row r="58" spans="1:28" ht="9" customHeight="1">
      <c r="A58" s="625"/>
      <c r="B58" s="626"/>
      <c r="C58" s="650"/>
      <c r="D58" s="650"/>
      <c r="G58" s="651"/>
      <c r="H58" s="627"/>
      <c r="I58" s="627"/>
      <c r="J58" s="627"/>
      <c r="K58" s="627"/>
      <c r="L58" s="627"/>
      <c r="M58" s="627"/>
      <c r="N58" s="628"/>
      <c r="P58" s="626"/>
      <c r="Q58" s="627"/>
      <c r="R58" s="650"/>
      <c r="S58" s="650"/>
      <c r="T58" s="650"/>
      <c r="U58" s="565"/>
      <c r="V58" s="627"/>
      <c r="W58" s="627"/>
      <c r="X58" s="627"/>
      <c r="Y58" s="627"/>
      <c r="Z58" s="627"/>
      <c r="AA58" s="627"/>
      <c r="AB58" s="630"/>
    </row>
    <row r="59" spans="1:28" ht="12.75">
      <c r="A59" s="625" t="s">
        <v>20</v>
      </c>
      <c r="B59" s="626">
        <v>0.7673022687491406</v>
      </c>
      <c r="C59" s="650">
        <v>0.8254817650844392</v>
      </c>
      <c r="D59" s="650">
        <v>0.8167899494128937</v>
      </c>
      <c r="E59" s="627">
        <v>0.8308868889134909</v>
      </c>
      <c r="F59" s="627">
        <v>0.8311215301148706</v>
      </c>
      <c r="G59" s="651">
        <v>45.237966</v>
      </c>
      <c r="H59" s="627">
        <f>+C59/B59</f>
        <v>1.07582343843469</v>
      </c>
      <c r="I59" s="627">
        <f>+D59/C59</f>
        <v>0.9894706145681409</v>
      </c>
      <c r="J59" s="627">
        <f>+E59/D59</f>
        <v>1.0172589531870833</v>
      </c>
      <c r="K59" s="627">
        <f>+F59/E59</f>
        <v>1.0002823984883027</v>
      </c>
      <c r="L59" s="627">
        <f>+B59</f>
        <v>0.7673022687491406</v>
      </c>
      <c r="M59" s="627"/>
      <c r="N59" s="630">
        <v>0.020174614624845155</v>
      </c>
      <c r="P59" s="626">
        <v>0.7883637217035068</v>
      </c>
      <c r="Q59" s="627">
        <v>0.8262262702371215</v>
      </c>
      <c r="R59" s="650">
        <v>0.8109770399372858</v>
      </c>
      <c r="S59" s="650">
        <v>0.8443102690039374</v>
      </c>
      <c r="T59" s="650">
        <v>0.8173928889186342</v>
      </c>
      <c r="U59" s="565">
        <v>34.927336</v>
      </c>
      <c r="V59" s="627">
        <v>1.0480267514743078</v>
      </c>
      <c r="W59" s="627">
        <v>0.9815435179815097</v>
      </c>
      <c r="X59" s="627">
        <v>1.0411025558371287</v>
      </c>
      <c r="Y59" s="627">
        <v>0.968119089541504</v>
      </c>
      <c r="Z59" s="627">
        <v>1.0368220485239996</v>
      </c>
      <c r="AA59" s="627"/>
      <c r="AB59" s="630">
        <v>0.009081062996858735</v>
      </c>
    </row>
    <row r="60" spans="1:28" ht="9" customHeight="1">
      <c r="A60" s="625"/>
      <c r="B60" s="626"/>
      <c r="C60" s="650"/>
      <c r="D60" s="650"/>
      <c r="G60" s="651"/>
      <c r="H60" s="627"/>
      <c r="I60" s="627"/>
      <c r="J60" s="627"/>
      <c r="K60" s="627"/>
      <c r="L60" s="627"/>
      <c r="M60" s="627"/>
      <c r="N60" s="630"/>
      <c r="P60" s="626"/>
      <c r="Q60" s="627"/>
      <c r="R60" s="650"/>
      <c r="S60" s="650"/>
      <c r="T60" s="650"/>
      <c r="U60" s="565"/>
      <c r="V60" s="627"/>
      <c r="W60" s="627"/>
      <c r="X60" s="627"/>
      <c r="Y60" s="627"/>
      <c r="Z60" s="627"/>
      <c r="AA60" s="627"/>
      <c r="AB60" s="630"/>
    </row>
    <row r="61" spans="1:28" ht="12.75">
      <c r="A61" s="625" t="s">
        <v>21</v>
      </c>
      <c r="B61" s="626">
        <v>1.0094064983011823</v>
      </c>
      <c r="C61" s="650">
        <v>0.9573845279901105</v>
      </c>
      <c r="D61" s="650">
        <v>0.9477504801959712</v>
      </c>
      <c r="E61" s="627">
        <v>0.9523175297332463</v>
      </c>
      <c r="F61" s="627">
        <v>0.9549856305345228</v>
      </c>
      <c r="G61" s="651">
        <v>44.178622</v>
      </c>
      <c r="H61" s="627">
        <f>+C61/B61</f>
        <v>0.9484628141401664</v>
      </c>
      <c r="I61" s="627">
        <f>+D61/C61</f>
        <v>0.989937117728062</v>
      </c>
      <c r="J61" s="627">
        <f>+E61/D61</f>
        <v>1.0048188311509278</v>
      </c>
      <c r="K61" s="627">
        <f>+F61/E61</f>
        <v>1.002801692416629</v>
      </c>
      <c r="L61" s="627">
        <f>+B61</f>
        <v>1.0094064983011823</v>
      </c>
      <c r="M61" s="627"/>
      <c r="N61" s="630">
        <v>-0.013759835471200965</v>
      </c>
      <c r="P61" s="626">
        <v>1.037935299980728</v>
      </c>
      <c r="Q61" s="627">
        <v>0.985666869167586</v>
      </c>
      <c r="R61" s="650">
        <v>0.9705257145025976</v>
      </c>
      <c r="S61" s="650">
        <v>0.9611486910308631</v>
      </c>
      <c r="T61" s="650">
        <v>0.925754391287316</v>
      </c>
      <c r="U61" s="565">
        <v>34.208217</v>
      </c>
      <c r="V61" s="627">
        <v>0.949641918129085</v>
      </c>
      <c r="W61" s="627">
        <v>0.9846386693733804</v>
      </c>
      <c r="X61" s="627">
        <v>0.9903382019336393</v>
      </c>
      <c r="Y61" s="627">
        <v>0.9631750008361499</v>
      </c>
      <c r="Z61" s="627">
        <v>0.8919191700142629</v>
      </c>
      <c r="AA61" s="627"/>
      <c r="AB61" s="630">
        <v>-0.028189975598711836</v>
      </c>
    </row>
    <row r="62" spans="1:28" ht="9" customHeight="1">
      <c r="A62" s="625"/>
      <c r="B62" s="626"/>
      <c r="C62" s="650"/>
      <c r="D62" s="650"/>
      <c r="E62" s="627"/>
      <c r="F62" s="627"/>
      <c r="G62" s="651"/>
      <c r="H62" s="627"/>
      <c r="I62" s="627"/>
      <c r="J62" s="627"/>
      <c r="K62" s="627"/>
      <c r="L62" s="627"/>
      <c r="M62" s="627"/>
      <c r="N62" s="630"/>
      <c r="P62" s="626"/>
      <c r="Q62" s="627"/>
      <c r="R62" s="650"/>
      <c r="S62" s="650"/>
      <c r="T62" s="650"/>
      <c r="U62" s="565"/>
      <c r="V62" s="627"/>
      <c r="W62" s="627"/>
      <c r="X62" s="627"/>
      <c r="Y62" s="627"/>
      <c r="Z62" s="627"/>
      <c r="AA62" s="627"/>
      <c r="AB62" s="630"/>
    </row>
    <row r="63" spans="1:28" ht="12.75">
      <c r="A63" s="625" t="s">
        <v>22</v>
      </c>
      <c r="B63" s="626">
        <v>1.0316276550472716</v>
      </c>
      <c r="C63" s="650">
        <v>1.0515577883191913</v>
      </c>
      <c r="D63" s="650">
        <v>0.9847480641158097</v>
      </c>
      <c r="E63" s="627">
        <v>0.9550429793549929</v>
      </c>
      <c r="F63" s="627">
        <v>1.083030003863624</v>
      </c>
      <c r="G63" s="651">
        <v>38.12317</v>
      </c>
      <c r="H63" s="627">
        <f>+C63/B63</f>
        <v>1.0193191149678966</v>
      </c>
      <c r="I63" s="627">
        <f>+D63/C63</f>
        <v>0.9364659508535711</v>
      </c>
      <c r="J63" s="627">
        <f>+E63/D63</f>
        <v>0.9698348381243191</v>
      </c>
      <c r="K63" s="627">
        <f>+F63/E63</f>
        <v>1.134011795568687</v>
      </c>
      <c r="L63" s="627">
        <f>+B63</f>
        <v>1.0316276550472716</v>
      </c>
      <c r="M63" s="627"/>
      <c r="N63" s="630">
        <v>0.012230404479791845</v>
      </c>
      <c r="P63" s="626">
        <v>1.0645348202515397</v>
      </c>
      <c r="Q63" s="627">
        <v>1.1105572308298925</v>
      </c>
      <c r="R63" s="650">
        <v>1.0446694014599422</v>
      </c>
      <c r="S63" s="650">
        <v>0.9875873333365274</v>
      </c>
      <c r="T63" s="650">
        <v>1.0575267470187473</v>
      </c>
      <c r="U63" s="565">
        <v>30.939172</v>
      </c>
      <c r="V63" s="627">
        <v>1.0432324144807947</v>
      </c>
      <c r="W63" s="627">
        <v>0.9406713787089442</v>
      </c>
      <c r="X63" s="627">
        <v>0.9453587249290142</v>
      </c>
      <c r="Y63" s="627">
        <v>1.070818459615042</v>
      </c>
      <c r="Z63" s="627">
        <v>0.9934167740693194</v>
      </c>
      <c r="AA63" s="627"/>
      <c r="AB63" s="630">
        <v>-0.0016498851749713328</v>
      </c>
    </row>
    <row r="64" spans="1:28" ht="9" customHeight="1">
      <c r="A64" s="625"/>
      <c r="B64" s="626"/>
      <c r="C64" s="650"/>
      <c r="D64" s="650"/>
      <c r="G64" s="651"/>
      <c r="H64" s="627"/>
      <c r="I64" s="627"/>
      <c r="J64" s="627"/>
      <c r="K64" s="627"/>
      <c r="L64" s="627"/>
      <c r="M64" s="627"/>
      <c r="N64" s="630"/>
      <c r="P64" s="626"/>
      <c r="Q64" s="627"/>
      <c r="R64" s="650"/>
      <c r="S64" s="650"/>
      <c r="T64" s="650"/>
      <c r="U64" s="565"/>
      <c r="V64" s="627"/>
      <c r="W64" s="627"/>
      <c r="X64" s="627"/>
      <c r="Y64" s="627"/>
      <c r="Z64" s="627"/>
      <c r="AA64" s="627"/>
      <c r="AB64" s="630"/>
    </row>
    <row r="65" spans="1:28" ht="12.75">
      <c r="A65" s="631" t="s">
        <v>96</v>
      </c>
      <c r="B65" s="632">
        <v>1.0689817950516465</v>
      </c>
      <c r="C65" s="652">
        <v>1.0818435790354273</v>
      </c>
      <c r="D65" s="652">
        <v>1.095213138255069</v>
      </c>
      <c r="E65" s="633">
        <v>0.9719121393505852</v>
      </c>
      <c r="F65" s="633">
        <v>1.1976033731344795</v>
      </c>
      <c r="G65" s="653">
        <v>8.851455</v>
      </c>
      <c r="H65" s="633">
        <f>+C65/B65</f>
        <v>1.0120318082527864</v>
      </c>
      <c r="I65" s="633">
        <f>+D65/C65</f>
        <v>1.0123581259608363</v>
      </c>
      <c r="J65" s="633">
        <f>+E65/D65</f>
        <v>0.8874182617084643</v>
      </c>
      <c r="K65" s="633">
        <f>+F65/E65</f>
        <v>1.2322136175135103</v>
      </c>
      <c r="L65" s="633">
        <f>+B65</f>
        <v>1.0689817950516465</v>
      </c>
      <c r="M65" s="633"/>
      <c r="N65" s="635">
        <v>0.02881118071998645</v>
      </c>
      <c r="P65" s="632">
        <v>1.2526157243283467</v>
      </c>
      <c r="Q65" s="633">
        <v>1.2894150210270783</v>
      </c>
      <c r="R65" s="652">
        <v>1.3032082252041282</v>
      </c>
      <c r="S65" s="652">
        <v>1.1091516312082728</v>
      </c>
      <c r="T65" s="652">
        <v>1.2239274862256626</v>
      </c>
      <c r="U65" s="654">
        <v>6.87074</v>
      </c>
      <c r="V65" s="633">
        <v>1.0293779616398024</v>
      </c>
      <c r="W65" s="633">
        <v>1.010697257246207</v>
      </c>
      <c r="X65" s="633">
        <v>0.8510931789388766</v>
      </c>
      <c r="Y65" s="633">
        <v>1.103480761140257</v>
      </c>
      <c r="Z65" s="633">
        <v>0.9770973351639293</v>
      </c>
      <c r="AA65" s="633"/>
      <c r="AB65" s="635">
        <v>-0.005775508585565858</v>
      </c>
    </row>
    <row r="66" spans="1:28" ht="4.5" customHeight="1">
      <c r="A66" s="625"/>
      <c r="B66" s="626"/>
      <c r="C66" s="650"/>
      <c r="D66" s="650"/>
      <c r="E66" s="627"/>
      <c r="F66" s="627"/>
      <c r="G66" s="650"/>
      <c r="H66" s="627"/>
      <c r="I66" s="627"/>
      <c r="J66" s="627"/>
      <c r="K66" s="627"/>
      <c r="L66" s="627"/>
      <c r="M66" s="627"/>
      <c r="N66" s="630"/>
      <c r="P66" s="626"/>
      <c r="Q66" s="627"/>
      <c r="R66" s="650"/>
      <c r="S66" s="650"/>
      <c r="T66" s="650"/>
      <c r="U66" s="565"/>
      <c r="V66" s="627"/>
      <c r="W66" s="627"/>
      <c r="X66" s="627"/>
      <c r="Y66" s="627"/>
      <c r="Z66" s="627"/>
      <c r="AA66" s="627"/>
      <c r="AB66" s="630"/>
    </row>
    <row r="67" spans="1:28" ht="13.5" thickBot="1">
      <c r="A67" s="637" t="s">
        <v>84</v>
      </c>
      <c r="B67" s="642">
        <v>0.9173475062734912</v>
      </c>
      <c r="C67" s="655">
        <v>0.9191114264065077</v>
      </c>
      <c r="D67" s="655">
        <v>0.8807880997053147</v>
      </c>
      <c r="E67" s="639">
        <v>0.8868801434532421</v>
      </c>
      <c r="F67" s="639">
        <v>0.9009903008562655</v>
      </c>
      <c r="G67" s="656">
        <v>169.853014</v>
      </c>
      <c r="H67" s="639">
        <f>+C67/B67</f>
        <v>1.0019228483436795</v>
      </c>
      <c r="I67" s="639">
        <f>+D67/C67</f>
        <v>0.9583039383472497</v>
      </c>
      <c r="J67" s="639">
        <f>+E67/D67</f>
        <v>1.0069165827171889</v>
      </c>
      <c r="K67" s="639">
        <f>+F67/E67</f>
        <v>1.0159098808414886</v>
      </c>
      <c r="L67" s="639">
        <f>+B67</f>
        <v>0.9173475062734912</v>
      </c>
      <c r="M67" s="639"/>
      <c r="N67" s="641">
        <v>-0.004487866230011406</v>
      </c>
      <c r="P67" s="638">
        <v>0.9355837571159052</v>
      </c>
      <c r="Q67" s="643">
        <v>0.9297013557543985</v>
      </c>
      <c r="R67" s="655">
        <v>0.8970059146667491</v>
      </c>
      <c r="S67" s="655">
        <v>0.8951637678184756</v>
      </c>
      <c r="T67" s="655">
        <v>0.8852328940807204</v>
      </c>
      <c r="U67" s="656">
        <v>133.740873</v>
      </c>
      <c r="V67" s="639">
        <f>Q67/P67</f>
        <v>0.99371258712353</v>
      </c>
      <c r="W67" s="639">
        <f>R67/Q67</f>
        <v>0.9648323185878126</v>
      </c>
      <c r="X67" s="639">
        <f>S67/R67</f>
        <v>0.9979463381253647</v>
      </c>
      <c r="Y67" s="639">
        <f>T67/S67</f>
        <v>0.9889060816637419</v>
      </c>
      <c r="Z67" s="639">
        <f>T67/P67</f>
        <v>0.9461824100170358</v>
      </c>
      <c r="AA67" s="639"/>
      <c r="AB67" s="641">
        <f>((T67/P67)^0.25)-1</f>
        <v>-0.013734781749644487</v>
      </c>
    </row>
    <row r="68" ht="7.5" customHeight="1" thickTop="1"/>
    <row r="69" spans="2:6" ht="22.5" customHeight="1">
      <c r="B69" s="731" t="s">
        <v>149</v>
      </c>
      <c r="C69" s="731"/>
      <c r="D69" s="731"/>
      <c r="E69" s="731"/>
      <c r="F69" s="731"/>
    </row>
  </sheetData>
  <sheetProtection/>
  <mergeCells count="33">
    <mergeCell ref="J1:P1"/>
    <mergeCell ref="B9:F9"/>
    <mergeCell ref="H9:L9"/>
    <mergeCell ref="P9:T9"/>
    <mergeCell ref="H2:R2"/>
    <mergeCell ref="J3:P3"/>
    <mergeCell ref="D4:W4"/>
    <mergeCell ref="D5:W5"/>
    <mergeCell ref="D7:W7"/>
    <mergeCell ref="A6:Y6"/>
    <mergeCell ref="P8:AB8"/>
    <mergeCell ref="E38:X38"/>
    <mergeCell ref="P24:T24"/>
    <mergeCell ref="B24:F24"/>
    <mergeCell ref="P23:AB23"/>
    <mergeCell ref="V40:Z40"/>
    <mergeCell ref="B8:N8"/>
    <mergeCell ref="H24:L24"/>
    <mergeCell ref="H40:L40"/>
    <mergeCell ref="V9:Z9"/>
    <mergeCell ref="B23:N23"/>
    <mergeCell ref="B39:N39"/>
    <mergeCell ref="B69:F69"/>
    <mergeCell ref="B55:F55"/>
    <mergeCell ref="H55:L55"/>
    <mergeCell ref="P55:T55"/>
    <mergeCell ref="B40:F40"/>
    <mergeCell ref="V24:Z24"/>
    <mergeCell ref="V55:Z55"/>
    <mergeCell ref="B54:N54"/>
    <mergeCell ref="P54:AB54"/>
    <mergeCell ref="P39:AB39"/>
    <mergeCell ref="P40:T40"/>
  </mergeCells>
  <printOptions/>
  <pageMargins left="0.75" right="0.75" top="1" bottom="1" header="0.5" footer="0.5"/>
  <pageSetup horizontalDpi="600" verticalDpi="600" orientation="landscape" scale="52" r:id="rId1"/>
  <headerFooter alignWithMargins="0">
    <oddFooter>&amp;L"&amp;F"&amp;R&amp;"Arial,Italic"&amp;A</oddFooter>
  </headerFooter>
</worksheet>
</file>

<file path=xl/worksheets/sheet25.xml><?xml version="1.0" encoding="utf-8"?>
<worksheet xmlns="http://schemas.openxmlformats.org/spreadsheetml/2006/main" xmlns:r="http://schemas.openxmlformats.org/officeDocument/2006/relationships">
  <dimension ref="A1:AC48"/>
  <sheetViews>
    <sheetView zoomScaleSheetLayoutView="85" zoomScalePageLayoutView="0" workbookViewId="0" topLeftCell="A1">
      <selection activeCell="K11" sqref="K11"/>
    </sheetView>
  </sheetViews>
  <sheetFormatPr defaultColWidth="9.140625" defaultRowHeight="12.75"/>
  <cols>
    <col min="1" max="1" width="6.7109375" style="52" bestFit="1" customWidth="1"/>
    <col min="2" max="2" width="8.8515625" style="52" customWidth="1"/>
    <col min="3" max="10" width="8.8515625" style="275" customWidth="1"/>
    <col min="11" max="11" width="17.7109375" style="275" bestFit="1" customWidth="1"/>
    <col min="12" max="12" width="4.57421875" style="275" customWidth="1"/>
    <col min="13" max="13" width="7.28125" style="275" customWidth="1"/>
    <col min="14" max="16" width="8.00390625" style="275" customWidth="1"/>
    <col min="17" max="17" width="7.7109375" style="275" customWidth="1"/>
    <col min="18" max="18" width="8.00390625" style="275" customWidth="1"/>
    <col min="19" max="21" width="7.8515625" style="275" bestFit="1" customWidth="1"/>
    <col min="22" max="22" width="7.8515625" style="275" customWidth="1"/>
    <col min="23" max="23" width="12.7109375" style="275" bestFit="1" customWidth="1"/>
    <col min="24" max="24" width="7.28125" style="275" customWidth="1"/>
    <col min="25" max="25" width="1.57421875" style="275" customWidth="1"/>
    <col min="26" max="26" width="11.00390625" style="275" customWidth="1"/>
    <col min="27" max="27" width="3.00390625" style="275" customWidth="1"/>
    <col min="28" max="16384" width="9.140625" style="275" customWidth="1"/>
  </cols>
  <sheetData>
    <row r="1" spans="1:26" s="189" customFormat="1" ht="15.75">
      <c r="A1" s="683" t="s">
        <v>126</v>
      </c>
      <c r="B1" s="683"/>
      <c r="C1" s="683"/>
      <c r="D1" s="683"/>
      <c r="E1" s="683"/>
      <c r="F1" s="683"/>
      <c r="G1" s="683"/>
      <c r="H1" s="683"/>
      <c r="I1" s="683"/>
      <c r="J1" s="683"/>
      <c r="K1" s="683"/>
      <c r="L1" s="683"/>
      <c r="M1" s="683"/>
      <c r="N1" s="683"/>
      <c r="O1" s="683"/>
      <c r="P1" s="683"/>
      <c r="Q1" s="683"/>
      <c r="R1" s="683"/>
      <c r="S1" s="683"/>
      <c r="T1" s="683"/>
      <c r="U1" s="683"/>
      <c r="V1" s="683"/>
      <c r="W1" s="683"/>
      <c r="X1" s="683"/>
      <c r="Y1" s="683"/>
      <c r="Z1" s="60"/>
    </row>
    <row r="2" spans="1:27" ht="18">
      <c r="A2" s="751" t="s">
        <v>80</v>
      </c>
      <c r="B2" s="751"/>
      <c r="C2" s="751"/>
      <c r="D2" s="751"/>
      <c r="E2" s="751"/>
      <c r="F2" s="751"/>
      <c r="G2" s="751"/>
      <c r="H2" s="751"/>
      <c r="I2" s="751"/>
      <c r="J2" s="751"/>
      <c r="K2" s="751"/>
      <c r="L2" s="751"/>
      <c r="M2" s="751"/>
      <c r="N2" s="751"/>
      <c r="O2" s="751"/>
      <c r="P2" s="751"/>
      <c r="Q2" s="751"/>
      <c r="R2" s="751"/>
      <c r="S2" s="751"/>
      <c r="T2" s="751"/>
      <c r="U2" s="751"/>
      <c r="V2" s="751"/>
      <c r="W2" s="751"/>
      <c r="X2" s="751"/>
      <c r="Y2" s="751"/>
      <c r="Z2" s="61"/>
      <c r="AA2" s="38"/>
    </row>
    <row r="3" spans="1:26" ht="15.75">
      <c r="A3" s="750" t="s">
        <v>102</v>
      </c>
      <c r="B3" s="750"/>
      <c r="C3" s="750"/>
      <c r="D3" s="750"/>
      <c r="E3" s="750"/>
      <c r="F3" s="750"/>
      <c r="G3" s="750"/>
      <c r="H3" s="750"/>
      <c r="I3" s="750"/>
      <c r="J3" s="750"/>
      <c r="K3" s="750"/>
      <c r="L3" s="750"/>
      <c r="M3" s="750"/>
      <c r="N3" s="750"/>
      <c r="O3" s="750"/>
      <c r="P3" s="750"/>
      <c r="Q3" s="750"/>
      <c r="R3" s="750"/>
      <c r="S3" s="750"/>
      <c r="T3" s="750"/>
      <c r="U3" s="750"/>
      <c r="V3" s="750"/>
      <c r="W3" s="750"/>
      <c r="X3" s="750"/>
      <c r="Y3" s="750"/>
      <c r="Z3" s="62"/>
    </row>
    <row r="4" spans="1:26" ht="15.75">
      <c r="A4" s="750" t="s">
        <v>103</v>
      </c>
      <c r="B4" s="750"/>
      <c r="C4" s="750"/>
      <c r="D4" s="750"/>
      <c r="E4" s="750"/>
      <c r="F4" s="750"/>
      <c r="G4" s="750"/>
      <c r="H4" s="750"/>
      <c r="I4" s="750"/>
      <c r="J4" s="750"/>
      <c r="K4" s="750"/>
      <c r="L4" s="750"/>
      <c r="M4" s="750"/>
      <c r="N4" s="750"/>
      <c r="O4" s="750"/>
      <c r="P4" s="750"/>
      <c r="Q4" s="750"/>
      <c r="R4" s="750"/>
      <c r="S4" s="750"/>
      <c r="T4" s="750"/>
      <c r="U4" s="750"/>
      <c r="V4" s="750"/>
      <c r="W4" s="750"/>
      <c r="X4" s="750"/>
      <c r="Y4" s="750"/>
      <c r="Z4" s="62"/>
    </row>
    <row r="5" spans="1:26" ht="15">
      <c r="A5" s="749" t="s">
        <v>100</v>
      </c>
      <c r="B5" s="749"/>
      <c r="C5" s="749"/>
      <c r="D5" s="749"/>
      <c r="E5" s="749"/>
      <c r="F5" s="749"/>
      <c r="G5" s="749"/>
      <c r="H5" s="749"/>
      <c r="I5" s="749"/>
      <c r="J5" s="749"/>
      <c r="K5" s="749"/>
      <c r="L5" s="749"/>
      <c r="M5" s="749"/>
      <c r="N5" s="749"/>
      <c r="O5" s="749"/>
      <c r="P5" s="749"/>
      <c r="Q5" s="749"/>
      <c r="R5" s="749"/>
      <c r="S5" s="749"/>
      <c r="T5" s="749"/>
      <c r="U5" s="749"/>
      <c r="V5" s="749"/>
      <c r="W5" s="749"/>
      <c r="X5" s="749"/>
      <c r="Y5" s="749"/>
      <c r="Z5" s="63"/>
    </row>
    <row r="6" spans="1:26" ht="12.75">
      <c r="A6" s="748" t="s">
        <v>184</v>
      </c>
      <c r="B6" s="748"/>
      <c r="C6" s="748"/>
      <c r="D6" s="748"/>
      <c r="E6" s="748"/>
      <c r="F6" s="748"/>
      <c r="G6" s="748"/>
      <c r="H6" s="748"/>
      <c r="I6" s="748"/>
      <c r="J6" s="748"/>
      <c r="K6" s="748"/>
      <c r="L6" s="748"/>
      <c r="M6" s="748"/>
      <c r="N6" s="748"/>
      <c r="O6" s="748"/>
      <c r="P6" s="748"/>
      <c r="Q6" s="748"/>
      <c r="R6" s="748"/>
      <c r="S6" s="748"/>
      <c r="T6" s="748"/>
      <c r="U6" s="748"/>
      <c r="V6" s="748"/>
      <c r="W6" s="748"/>
      <c r="X6" s="748"/>
      <c r="Y6" s="748"/>
      <c r="Z6" s="415"/>
    </row>
    <row r="7" spans="1:26" ht="15">
      <c r="A7" s="67"/>
      <c r="B7" s="68"/>
      <c r="C7" s="68"/>
      <c r="D7" s="68"/>
      <c r="E7" s="68"/>
      <c r="F7" s="68"/>
      <c r="G7" s="747" t="s">
        <v>132</v>
      </c>
      <c r="H7" s="747"/>
      <c r="I7" s="747"/>
      <c r="J7" s="747"/>
      <c r="K7" s="747"/>
      <c r="L7" s="747"/>
      <c r="M7" s="747"/>
      <c r="N7" s="747"/>
      <c r="O7" s="747"/>
      <c r="P7" s="68"/>
      <c r="Q7" s="68"/>
      <c r="R7" s="68"/>
      <c r="S7" s="68"/>
      <c r="T7" s="68"/>
      <c r="U7" s="68"/>
      <c r="V7" s="68"/>
      <c r="W7" s="40"/>
      <c r="X7" s="40"/>
      <c r="Y7" s="40"/>
      <c r="Z7" s="40"/>
    </row>
    <row r="8" spans="1:26" ht="15">
      <c r="A8" s="69"/>
      <c r="B8" s="746" t="s">
        <v>70</v>
      </c>
      <c r="C8" s="746"/>
      <c r="D8" s="746"/>
      <c r="E8" s="746"/>
      <c r="F8" s="746"/>
      <c r="G8" s="746"/>
      <c r="H8" s="746"/>
      <c r="I8" s="746"/>
      <c r="J8" s="70"/>
      <c r="K8" s="70"/>
      <c r="L8" s="71"/>
      <c r="M8" s="71"/>
      <c r="N8" s="746" t="s">
        <v>257</v>
      </c>
      <c r="O8" s="746"/>
      <c r="P8" s="746"/>
      <c r="Q8" s="746"/>
      <c r="R8" s="746"/>
      <c r="S8" s="746"/>
      <c r="T8" s="746"/>
      <c r="U8" s="746"/>
      <c r="V8" s="70"/>
      <c r="W8" s="55"/>
      <c r="X8" s="55"/>
      <c r="Y8" s="55"/>
      <c r="Z8" s="55"/>
    </row>
    <row r="9" spans="1:26" ht="15" customHeight="1">
      <c r="A9" s="741" t="s">
        <v>11</v>
      </c>
      <c r="B9" s="743" t="s">
        <v>28</v>
      </c>
      <c r="C9" s="744"/>
      <c r="D9" s="744"/>
      <c r="E9" s="744"/>
      <c r="F9" s="744"/>
      <c r="G9" s="744"/>
      <c r="H9" s="744"/>
      <c r="I9" s="745"/>
      <c r="J9" s="739" t="s">
        <v>84</v>
      </c>
      <c r="K9" s="70"/>
      <c r="L9" s="71"/>
      <c r="M9" s="741" t="s">
        <v>11</v>
      </c>
      <c r="N9" s="743" t="s">
        <v>28</v>
      </c>
      <c r="O9" s="744"/>
      <c r="P9" s="744"/>
      <c r="Q9" s="744"/>
      <c r="R9" s="744"/>
      <c r="S9" s="744"/>
      <c r="T9" s="744"/>
      <c r="U9" s="745"/>
      <c r="V9" s="739" t="s">
        <v>84</v>
      </c>
      <c r="W9" s="55"/>
      <c r="X9" s="55"/>
      <c r="Y9" s="55"/>
      <c r="Z9" s="55"/>
    </row>
    <row r="10" spans="1:26" ht="12.75" customHeight="1">
      <c r="A10" s="742"/>
      <c r="B10" s="72" t="s">
        <v>115</v>
      </c>
      <c r="C10" s="73" t="s">
        <v>116</v>
      </c>
      <c r="D10" s="73" t="s">
        <v>117</v>
      </c>
      <c r="E10" s="73" t="s">
        <v>118</v>
      </c>
      <c r="F10" s="73" t="s">
        <v>119</v>
      </c>
      <c r="G10" s="73" t="s">
        <v>34</v>
      </c>
      <c r="H10" s="73" t="s">
        <v>35</v>
      </c>
      <c r="I10" s="665" t="s">
        <v>36</v>
      </c>
      <c r="J10" s="740"/>
      <c r="K10" s="73" t="s">
        <v>129</v>
      </c>
      <c r="L10" s="74"/>
      <c r="M10" s="742"/>
      <c r="N10" s="72" t="s">
        <v>115</v>
      </c>
      <c r="O10" s="73" t="s">
        <v>116</v>
      </c>
      <c r="P10" s="73" t="s">
        <v>117</v>
      </c>
      <c r="Q10" s="73" t="s">
        <v>118</v>
      </c>
      <c r="R10" s="73" t="s">
        <v>119</v>
      </c>
      <c r="S10" s="73" t="s">
        <v>34</v>
      </c>
      <c r="T10" s="73" t="s">
        <v>35</v>
      </c>
      <c r="U10" s="665" t="s">
        <v>36</v>
      </c>
      <c r="V10" s="740"/>
      <c r="W10" s="73" t="s">
        <v>128</v>
      </c>
      <c r="X10" s="56"/>
      <c r="Y10" s="53"/>
      <c r="Z10" s="53"/>
    </row>
    <row r="11" spans="1:26" ht="12.75">
      <c r="A11" s="64" t="s">
        <v>16</v>
      </c>
      <c r="B11" s="288">
        <v>0.4708748862342469</v>
      </c>
      <c r="C11" s="289">
        <v>0.9393971467340705</v>
      </c>
      <c r="D11" s="289">
        <v>0.5569029898316311</v>
      </c>
      <c r="E11" s="289">
        <v>1.0918071513316268</v>
      </c>
      <c r="F11" s="289">
        <v>0.9884253452638609</v>
      </c>
      <c r="G11" s="289">
        <v>0.6046513124586573</v>
      </c>
      <c r="H11" s="289">
        <v>0.8147284299454164</v>
      </c>
      <c r="I11" s="289">
        <v>0.9525513125632789</v>
      </c>
      <c r="J11" s="290">
        <v>0.8191603070429775</v>
      </c>
      <c r="K11" s="291">
        <v>54.784042</v>
      </c>
      <c r="L11" s="289"/>
      <c r="M11" s="66" t="s">
        <v>16</v>
      </c>
      <c r="N11" s="292">
        <v>0.8154304976678689</v>
      </c>
      <c r="O11" s="292">
        <v>1.020143151587747</v>
      </c>
      <c r="P11" s="292">
        <v>1.074892657310541</v>
      </c>
      <c r="Q11" s="292">
        <v>0.7925010381763606</v>
      </c>
      <c r="R11" s="292">
        <v>1.087952572728076</v>
      </c>
      <c r="S11" s="292">
        <v>0.7805541015822297</v>
      </c>
      <c r="T11" s="292">
        <v>0.9499227674279694</v>
      </c>
      <c r="U11" s="292">
        <v>0.9830766740482164</v>
      </c>
      <c r="V11" s="290">
        <v>0.9345972309424002</v>
      </c>
      <c r="W11" s="293">
        <v>352</v>
      </c>
      <c r="X11" s="294"/>
      <c r="Y11" s="294"/>
      <c r="Z11" s="294"/>
    </row>
    <row r="12" spans="1:26" ht="12.75">
      <c r="A12" s="64" t="s">
        <v>17</v>
      </c>
      <c r="B12" s="295">
        <v>1.0669309525447945</v>
      </c>
      <c r="C12" s="289">
        <v>0.7178601890363101</v>
      </c>
      <c r="D12" s="289">
        <v>1.2392252008773699</v>
      </c>
      <c r="E12" s="289">
        <v>1.1392637425104508</v>
      </c>
      <c r="F12" s="289">
        <v>0.880657683034726</v>
      </c>
      <c r="G12" s="289">
        <v>0.8107170285381277</v>
      </c>
      <c r="H12" s="289">
        <v>0.9089092948929018</v>
      </c>
      <c r="I12" s="289">
        <v>0.9010121756683698</v>
      </c>
      <c r="J12" s="296">
        <v>0.9286329650281924</v>
      </c>
      <c r="K12" s="291">
        <v>215.54056</v>
      </c>
      <c r="L12" s="289"/>
      <c r="M12" s="66" t="s">
        <v>17</v>
      </c>
      <c r="N12" s="292">
        <v>1.3051406226273736</v>
      </c>
      <c r="O12" s="292">
        <v>1.0861640711760667</v>
      </c>
      <c r="P12" s="292">
        <v>1.147338019339947</v>
      </c>
      <c r="Q12" s="292">
        <v>1.0853147865095374</v>
      </c>
      <c r="R12" s="292">
        <v>1.0023132275610747</v>
      </c>
      <c r="S12" s="292">
        <v>0.8694442136259902</v>
      </c>
      <c r="T12" s="292">
        <v>0.8661082601447891</v>
      </c>
      <c r="U12" s="292">
        <v>0.8027379748158847</v>
      </c>
      <c r="V12" s="296">
        <v>0.9245504293451122</v>
      </c>
      <c r="W12" s="293">
        <v>1039</v>
      </c>
      <c r="X12" s="294"/>
      <c r="Y12" s="294"/>
      <c r="Z12" s="294"/>
    </row>
    <row r="13" spans="1:26" ht="12.75">
      <c r="A13" s="64" t="s">
        <v>18</v>
      </c>
      <c r="B13" s="295">
        <v>1.3558622149956818</v>
      </c>
      <c r="C13" s="289">
        <v>0.6164828990573606</v>
      </c>
      <c r="D13" s="289">
        <v>1.0954300976902653</v>
      </c>
      <c r="E13" s="289">
        <v>0.9068204742686653</v>
      </c>
      <c r="F13" s="289">
        <v>1.050063932497773</v>
      </c>
      <c r="G13" s="289">
        <v>0.8295967219389117</v>
      </c>
      <c r="H13" s="289">
        <v>0.7940519455348698</v>
      </c>
      <c r="I13" s="289">
        <v>1.066526136268089</v>
      </c>
      <c r="J13" s="296">
        <v>0.9300412172240042</v>
      </c>
      <c r="K13" s="291">
        <v>532.55495</v>
      </c>
      <c r="L13" s="289"/>
      <c r="M13" s="66" t="s">
        <v>18</v>
      </c>
      <c r="N13" s="292">
        <v>1.3669041744033041</v>
      </c>
      <c r="O13" s="292">
        <v>0.75595295773467</v>
      </c>
      <c r="P13" s="292">
        <v>0.9933579828021348</v>
      </c>
      <c r="Q13" s="292">
        <v>1.0784286584262</v>
      </c>
      <c r="R13" s="292">
        <v>0.9834090933850843</v>
      </c>
      <c r="S13" s="292">
        <v>0.8502125411885165</v>
      </c>
      <c r="T13" s="292">
        <v>0.89414928986183</v>
      </c>
      <c r="U13" s="292">
        <v>1.0299167015012158</v>
      </c>
      <c r="V13" s="296">
        <v>0.9439330279338246</v>
      </c>
      <c r="W13" s="293">
        <v>2116</v>
      </c>
      <c r="X13" s="294"/>
      <c r="Y13" s="294"/>
      <c r="Z13" s="294"/>
    </row>
    <row r="14" spans="1:26" ht="12.75">
      <c r="A14" s="64" t="s">
        <v>19</v>
      </c>
      <c r="B14" s="295">
        <v>0.7795837630369522</v>
      </c>
      <c r="C14" s="289">
        <v>0.5714133924942485</v>
      </c>
      <c r="D14" s="289">
        <v>1.0505449993552696</v>
      </c>
      <c r="E14" s="289">
        <v>0.8026306696578954</v>
      </c>
      <c r="F14" s="289">
        <v>0.8380046239007859</v>
      </c>
      <c r="G14" s="289">
        <v>0.7275351084143276</v>
      </c>
      <c r="H14" s="289">
        <v>0.8710022288675217</v>
      </c>
      <c r="I14" s="289">
        <v>0.99033123771726</v>
      </c>
      <c r="J14" s="296">
        <v>0.8309328509292438</v>
      </c>
      <c r="K14" s="291">
        <v>766.060197</v>
      </c>
      <c r="L14" s="289"/>
      <c r="M14" s="66" t="s">
        <v>19</v>
      </c>
      <c r="N14" s="292">
        <v>1.0081734864935554</v>
      </c>
      <c r="O14" s="292">
        <v>0.8726840008627846</v>
      </c>
      <c r="P14" s="292">
        <v>1.1222831036825567</v>
      </c>
      <c r="Q14" s="292">
        <v>0.9519448208772304</v>
      </c>
      <c r="R14" s="292">
        <v>0.9130437526104601</v>
      </c>
      <c r="S14" s="292">
        <v>0.8015063162200811</v>
      </c>
      <c r="T14" s="292">
        <v>0.8888495422852083</v>
      </c>
      <c r="U14" s="292">
        <v>1.0334620154217597</v>
      </c>
      <c r="V14" s="296">
        <v>0.9100907106139207</v>
      </c>
      <c r="W14" s="293">
        <v>2906</v>
      </c>
      <c r="X14" s="294"/>
      <c r="Y14" s="294"/>
      <c r="Z14" s="294"/>
    </row>
    <row r="15" spans="1:26" ht="12.75">
      <c r="A15" s="64" t="s">
        <v>104</v>
      </c>
      <c r="B15" s="295">
        <v>0.5224935732543926</v>
      </c>
      <c r="C15" s="289">
        <v>1.5155522104605623</v>
      </c>
      <c r="D15" s="289">
        <v>0.8564401645079853</v>
      </c>
      <c r="E15" s="289">
        <v>0.8777444939433735</v>
      </c>
      <c r="F15" s="289">
        <v>0.8767293821308008</v>
      </c>
      <c r="G15" s="289">
        <v>0.8267708881854393</v>
      </c>
      <c r="H15" s="289">
        <v>1.0380373005880477</v>
      </c>
      <c r="I15" s="289">
        <v>0.8236024776769193</v>
      </c>
      <c r="J15" s="296">
        <v>0.9123352278124722</v>
      </c>
      <c r="K15" s="291">
        <v>991.93166</v>
      </c>
      <c r="L15" s="289"/>
      <c r="M15" s="66" t="s">
        <v>104</v>
      </c>
      <c r="N15" s="292">
        <v>0.8429961770123372</v>
      </c>
      <c r="O15" s="292">
        <v>1.055841336610665</v>
      </c>
      <c r="P15" s="292">
        <v>1.1897123338193265</v>
      </c>
      <c r="Q15" s="292">
        <v>0.9855533326669819</v>
      </c>
      <c r="R15" s="292">
        <v>0.9464144438057516</v>
      </c>
      <c r="S15" s="292">
        <v>0.8651468828602439</v>
      </c>
      <c r="T15" s="292">
        <v>0.9361991108268903</v>
      </c>
      <c r="U15" s="292">
        <v>0.9458261684100814</v>
      </c>
      <c r="V15" s="296">
        <v>0.9368975347653156</v>
      </c>
      <c r="W15" s="293">
        <v>3354</v>
      </c>
      <c r="X15" s="294"/>
      <c r="Y15" s="294"/>
      <c r="Z15" s="294"/>
    </row>
    <row r="16" spans="1:26" ht="12.75">
      <c r="A16" s="64" t="s">
        <v>105</v>
      </c>
      <c r="B16" s="295">
        <v>1.0091711096866263</v>
      </c>
      <c r="C16" s="289">
        <v>0.8480099197474379</v>
      </c>
      <c r="D16" s="289">
        <v>1.048055712460256</v>
      </c>
      <c r="E16" s="289">
        <v>0.8576682864311533</v>
      </c>
      <c r="F16" s="289">
        <v>0.8059911724832926</v>
      </c>
      <c r="G16" s="289">
        <v>0.8348027296209526</v>
      </c>
      <c r="H16" s="289">
        <v>0.935229094604298</v>
      </c>
      <c r="I16" s="289">
        <v>0.7809303109483485</v>
      </c>
      <c r="J16" s="296">
        <v>0.8626877691652273</v>
      </c>
      <c r="K16" s="291">
        <v>978.223022</v>
      </c>
      <c r="L16" s="289"/>
      <c r="M16" s="66" t="s">
        <v>105</v>
      </c>
      <c r="N16" s="292">
        <v>1.1533393017249276</v>
      </c>
      <c r="O16" s="292">
        <v>1.130428772625061</v>
      </c>
      <c r="P16" s="292">
        <v>1.0960588104776587</v>
      </c>
      <c r="Q16" s="292">
        <v>0.9959388911448568</v>
      </c>
      <c r="R16" s="292">
        <v>0.885409778837935</v>
      </c>
      <c r="S16" s="292">
        <v>0.8662616750637598</v>
      </c>
      <c r="T16" s="292">
        <v>1.0617799132860872</v>
      </c>
      <c r="U16" s="292">
        <v>0.8910498745181091</v>
      </c>
      <c r="V16" s="296">
        <v>0.9530629256406434</v>
      </c>
      <c r="W16" s="293">
        <v>3514</v>
      </c>
      <c r="X16" s="294"/>
      <c r="Y16" s="294"/>
      <c r="Z16" s="294"/>
    </row>
    <row r="17" spans="1:26" ht="12.75">
      <c r="A17" s="64" t="s">
        <v>106</v>
      </c>
      <c r="B17" s="295">
        <v>0.6673761848251928</v>
      </c>
      <c r="C17" s="289">
        <v>0.610246337657385</v>
      </c>
      <c r="D17" s="289">
        <v>0.8377278384072128</v>
      </c>
      <c r="E17" s="289">
        <v>0.9337495869920365</v>
      </c>
      <c r="F17" s="289">
        <v>0.8644415259334091</v>
      </c>
      <c r="G17" s="289">
        <v>0.7863019358213098</v>
      </c>
      <c r="H17" s="289">
        <v>0.8871720865995891</v>
      </c>
      <c r="I17" s="289">
        <v>0.7395182913135279</v>
      </c>
      <c r="J17" s="296">
        <v>0.8313784741492153</v>
      </c>
      <c r="K17" s="291">
        <v>933.05331</v>
      </c>
      <c r="L17" s="289"/>
      <c r="M17" s="66" t="s">
        <v>106</v>
      </c>
      <c r="N17" s="292">
        <v>0.9428477621736472</v>
      </c>
      <c r="O17" s="292">
        <v>0.8659812737352524</v>
      </c>
      <c r="P17" s="292">
        <v>0.9796833019039762</v>
      </c>
      <c r="Q17" s="292">
        <v>1.004064950073214</v>
      </c>
      <c r="R17" s="292">
        <v>0.913959275853837</v>
      </c>
      <c r="S17" s="292">
        <v>0.9086042672533992</v>
      </c>
      <c r="T17" s="292">
        <v>0.8953554162811149</v>
      </c>
      <c r="U17" s="292">
        <v>0.8957315571406617</v>
      </c>
      <c r="V17" s="296">
        <v>0.9165686881263548</v>
      </c>
      <c r="W17" s="293">
        <v>3421</v>
      </c>
      <c r="X17" s="294"/>
      <c r="Y17" s="294"/>
      <c r="Z17" s="294"/>
    </row>
    <row r="18" spans="1:26" ht="12.75">
      <c r="A18" s="64" t="s">
        <v>107</v>
      </c>
      <c r="B18" s="295">
        <v>0.779152835468449</v>
      </c>
      <c r="C18" s="289">
        <v>0.8528523651936132</v>
      </c>
      <c r="D18" s="289">
        <v>1.1071430655084824</v>
      </c>
      <c r="E18" s="289">
        <v>0.9445971828033419</v>
      </c>
      <c r="F18" s="289">
        <v>0.7889209086558968</v>
      </c>
      <c r="G18" s="289">
        <v>0.942864918031326</v>
      </c>
      <c r="H18" s="289">
        <v>1.016091892766083</v>
      </c>
      <c r="I18" s="289">
        <v>0.9109482376622042</v>
      </c>
      <c r="J18" s="296">
        <v>0.9144542469745242</v>
      </c>
      <c r="K18" s="291">
        <v>992.423649</v>
      </c>
      <c r="L18" s="289"/>
      <c r="M18" s="66" t="s">
        <v>107</v>
      </c>
      <c r="N18" s="292">
        <v>0.8801039696156102</v>
      </c>
      <c r="O18" s="292">
        <v>0.883388361417231</v>
      </c>
      <c r="P18" s="292">
        <v>1.0737978031331197</v>
      </c>
      <c r="Q18" s="292">
        <v>0.9777171864710271</v>
      </c>
      <c r="R18" s="292">
        <v>0.9151540091581308</v>
      </c>
      <c r="S18" s="292">
        <v>0.9552476488556906</v>
      </c>
      <c r="T18" s="292">
        <v>0.9545688918630528</v>
      </c>
      <c r="U18" s="292">
        <v>0.9753819268494808</v>
      </c>
      <c r="V18" s="296">
        <v>0.9526280077566774</v>
      </c>
      <c r="W18" s="293">
        <v>3488</v>
      </c>
      <c r="X18" s="294"/>
      <c r="Y18" s="294"/>
      <c r="Z18" s="294"/>
    </row>
    <row r="19" spans="1:26" ht="12.75">
      <c r="A19" s="64" t="s">
        <v>108</v>
      </c>
      <c r="B19" s="295">
        <v>0.37034064043708276</v>
      </c>
      <c r="C19" s="289">
        <v>0.8777502583539928</v>
      </c>
      <c r="D19" s="289">
        <v>0.7868144715100591</v>
      </c>
      <c r="E19" s="289">
        <v>0.7756260099335471</v>
      </c>
      <c r="F19" s="289">
        <v>0.832529776434025</v>
      </c>
      <c r="G19" s="289">
        <v>0.9584039359893531</v>
      </c>
      <c r="H19" s="289">
        <v>0.9590642778925287</v>
      </c>
      <c r="I19" s="289">
        <v>0.9267434854034367</v>
      </c>
      <c r="J19" s="296">
        <v>0.8699322371121991</v>
      </c>
      <c r="K19" s="291">
        <v>727.70871</v>
      </c>
      <c r="L19" s="289"/>
      <c r="M19" s="66" t="s">
        <v>108</v>
      </c>
      <c r="N19" s="292">
        <v>0.7422911704103186</v>
      </c>
      <c r="O19" s="292">
        <v>1.078639174899023</v>
      </c>
      <c r="P19" s="292">
        <v>0.8990226951137613</v>
      </c>
      <c r="Q19" s="292">
        <v>1.0489583444579287</v>
      </c>
      <c r="R19" s="292">
        <v>0.8753110198502031</v>
      </c>
      <c r="S19" s="292">
        <v>0.9881610105983306</v>
      </c>
      <c r="T19" s="292">
        <v>1.025616787607555</v>
      </c>
      <c r="U19" s="292">
        <v>0.9779799233125387</v>
      </c>
      <c r="V19" s="296">
        <v>0.9710271786414442</v>
      </c>
      <c r="W19" s="293">
        <v>2847</v>
      </c>
      <c r="X19" s="294"/>
      <c r="Y19" s="294"/>
      <c r="Z19" s="294"/>
    </row>
    <row r="20" spans="1:26" ht="12.75">
      <c r="A20" s="64" t="s">
        <v>109</v>
      </c>
      <c r="B20" s="295">
        <v>0.6053904424080417</v>
      </c>
      <c r="C20" s="289">
        <v>0.7446197311540615</v>
      </c>
      <c r="D20" s="289">
        <v>1.7987009074515312</v>
      </c>
      <c r="E20" s="289">
        <v>0.912600880624345</v>
      </c>
      <c r="F20" s="289">
        <v>0.7995418521151806</v>
      </c>
      <c r="G20" s="289">
        <v>0.8287142432651565</v>
      </c>
      <c r="H20" s="289">
        <v>0.9075471635661013</v>
      </c>
      <c r="I20" s="289">
        <v>1.1384566972471386</v>
      </c>
      <c r="J20" s="296">
        <v>0.910864547375022</v>
      </c>
      <c r="K20" s="291">
        <v>493.748806</v>
      </c>
      <c r="L20" s="289"/>
      <c r="M20" s="66" t="s">
        <v>109</v>
      </c>
      <c r="N20" s="292">
        <v>0.7999021156818439</v>
      </c>
      <c r="O20" s="292">
        <v>1.0081663375542531</v>
      </c>
      <c r="P20" s="292">
        <v>1.3245059964305912</v>
      </c>
      <c r="Q20" s="292">
        <v>1.1091735459879202</v>
      </c>
      <c r="R20" s="292">
        <v>0.951326600018137</v>
      </c>
      <c r="S20" s="292">
        <v>0.9021686602608157</v>
      </c>
      <c r="T20" s="292">
        <v>1.0282365145908743</v>
      </c>
      <c r="U20" s="292">
        <v>0.9576186301271515</v>
      </c>
      <c r="V20" s="296">
        <v>0.9877560247675783</v>
      </c>
      <c r="W20" s="293">
        <v>1797</v>
      </c>
      <c r="X20" s="294"/>
      <c r="Y20" s="294"/>
      <c r="Z20" s="294"/>
    </row>
    <row r="21" spans="1:26" ht="12.75">
      <c r="A21" s="64" t="s">
        <v>110</v>
      </c>
      <c r="B21" s="295">
        <v>0.3733611062212501</v>
      </c>
      <c r="C21" s="289">
        <v>1.1855291590246397</v>
      </c>
      <c r="D21" s="289">
        <v>0.6496647608656924</v>
      </c>
      <c r="E21" s="289">
        <v>0.6695999899277436</v>
      </c>
      <c r="F21" s="289">
        <v>0.7988753362630304</v>
      </c>
      <c r="G21" s="289">
        <v>1.3360182747176461</v>
      </c>
      <c r="H21" s="289">
        <v>0.9349347497714241</v>
      </c>
      <c r="I21" s="289">
        <v>0.8304674437725085</v>
      </c>
      <c r="J21" s="296">
        <v>0.9079408423231435</v>
      </c>
      <c r="K21" s="291">
        <v>306.770645</v>
      </c>
      <c r="L21" s="289"/>
      <c r="M21" s="66" t="s">
        <v>110</v>
      </c>
      <c r="N21" s="292">
        <v>0.9215929650619914</v>
      </c>
      <c r="O21" s="292">
        <v>1.1962074970700207</v>
      </c>
      <c r="P21" s="292">
        <v>0.9097335723196033</v>
      </c>
      <c r="Q21" s="292">
        <v>0.7750047432252322</v>
      </c>
      <c r="R21" s="292">
        <v>0.8793565128074523</v>
      </c>
      <c r="S21" s="292">
        <v>1.104425822420092</v>
      </c>
      <c r="T21" s="292">
        <v>0.9537342923674185</v>
      </c>
      <c r="U21" s="292">
        <v>0.9051681220476966</v>
      </c>
      <c r="V21" s="296">
        <v>0.9550853200892073</v>
      </c>
      <c r="W21" s="293">
        <v>919</v>
      </c>
      <c r="X21" s="294"/>
      <c r="Y21" s="294"/>
      <c r="Z21" s="294"/>
    </row>
    <row r="22" spans="1:26" ht="12.75">
      <c r="A22" s="64" t="s">
        <v>111</v>
      </c>
      <c r="B22" s="295">
        <v>0.5919492904005744</v>
      </c>
      <c r="C22" s="289">
        <v>0.11676300955578567</v>
      </c>
      <c r="D22" s="289">
        <v>0.5242411011513827</v>
      </c>
      <c r="E22" s="289">
        <v>1.2577714627386</v>
      </c>
      <c r="F22" s="289">
        <v>0.9944201543014273</v>
      </c>
      <c r="G22" s="289">
        <v>0.9043042077398376</v>
      </c>
      <c r="H22" s="289">
        <v>0.8617350563779548</v>
      </c>
      <c r="I22" s="289">
        <v>0.5186917212055889</v>
      </c>
      <c r="J22" s="296">
        <v>0.780402701729843</v>
      </c>
      <c r="K22" s="291">
        <v>188.955683</v>
      </c>
      <c r="L22" s="289"/>
      <c r="M22" s="66" t="s">
        <v>111</v>
      </c>
      <c r="N22" s="292">
        <v>0.9215860387304663</v>
      </c>
      <c r="O22" s="292">
        <v>0.6489032580669171</v>
      </c>
      <c r="P22" s="292">
        <v>0.8215585170457987</v>
      </c>
      <c r="Q22" s="292">
        <v>0.8856846785407458</v>
      </c>
      <c r="R22" s="292">
        <v>1.056167239499008</v>
      </c>
      <c r="S22" s="292">
        <v>0.9150199826286973</v>
      </c>
      <c r="T22" s="292">
        <v>0.9338278712003792</v>
      </c>
      <c r="U22" s="292">
        <v>0.6151555882271523</v>
      </c>
      <c r="V22" s="296">
        <v>0.9367674322734107</v>
      </c>
      <c r="W22" s="293">
        <v>428</v>
      </c>
      <c r="X22" s="294"/>
      <c r="Y22" s="294"/>
      <c r="Z22" s="294"/>
    </row>
    <row r="23" spans="1:29" ht="12.75">
      <c r="A23" s="64" t="s">
        <v>112</v>
      </c>
      <c r="B23" s="295">
        <v>0.15684888479993728</v>
      </c>
      <c r="C23" s="289">
        <v>0.10971705137620369</v>
      </c>
      <c r="D23" s="289">
        <v>0.16493937240765985</v>
      </c>
      <c r="E23" s="289">
        <v>0.5151223763853199</v>
      </c>
      <c r="F23" s="289">
        <v>0.4984170445251925</v>
      </c>
      <c r="G23" s="289">
        <v>1.407343309674296</v>
      </c>
      <c r="H23" s="289">
        <v>2.1183530286788965</v>
      </c>
      <c r="I23" s="289"/>
      <c r="J23" s="296">
        <v>0.38542978595538907</v>
      </c>
      <c r="K23" s="291">
        <v>56.863169</v>
      </c>
      <c r="L23" s="289"/>
      <c r="M23" s="66" t="s">
        <v>112</v>
      </c>
      <c r="N23" s="292">
        <v>0.7026943938162894</v>
      </c>
      <c r="O23" s="292">
        <v>0.600726223392607</v>
      </c>
      <c r="P23" s="292">
        <v>0.6705793374388758</v>
      </c>
      <c r="Q23" s="292">
        <v>0.594359822464721</v>
      </c>
      <c r="R23" s="292">
        <v>0.6724474273053453</v>
      </c>
      <c r="S23" s="292">
        <v>1.1317671961736664</v>
      </c>
      <c r="T23" s="292">
        <v>2.0880168711763187</v>
      </c>
      <c r="U23" s="292"/>
      <c r="V23" s="296">
        <v>0.745547849974834</v>
      </c>
      <c r="W23" s="293">
        <v>141</v>
      </c>
      <c r="X23" s="297"/>
      <c r="Y23" s="297"/>
      <c r="Z23" s="294"/>
      <c r="AC23" s="298"/>
    </row>
    <row r="24" spans="1:23" ht="12.75">
      <c r="A24" s="64" t="s">
        <v>113</v>
      </c>
      <c r="B24" s="295">
        <v>0.07725014433752621</v>
      </c>
      <c r="C24" s="289">
        <v>1.2177631323256062</v>
      </c>
      <c r="D24" s="289">
        <v>1.0909372980110819</v>
      </c>
      <c r="E24" s="289">
        <v>0.2781277355234395</v>
      </c>
      <c r="F24" s="289">
        <v>0.8716460158522841</v>
      </c>
      <c r="G24" s="289">
        <v>1.5466852461010836</v>
      </c>
      <c r="H24" s="289"/>
      <c r="I24" s="289"/>
      <c r="J24" s="296">
        <v>0.7817160897805592</v>
      </c>
      <c r="K24" s="291">
        <v>34.941996</v>
      </c>
      <c r="L24" s="289"/>
      <c r="M24" s="66" t="s">
        <v>113</v>
      </c>
      <c r="N24" s="292">
        <v>0.5052954968065324</v>
      </c>
      <c r="O24" s="292">
        <v>0.7480536578888803</v>
      </c>
      <c r="P24" s="292">
        <v>0.24868281004943815</v>
      </c>
      <c r="Q24" s="292">
        <v>0.34009001502517694</v>
      </c>
      <c r="R24" s="292">
        <v>0.6671094296659115</v>
      </c>
      <c r="S24" s="292">
        <v>0.6137096600969048</v>
      </c>
      <c r="T24" s="292"/>
      <c r="U24" s="292"/>
      <c r="V24" s="296">
        <v>0.4720533593382284</v>
      </c>
      <c r="W24" s="293">
        <v>24</v>
      </c>
    </row>
    <row r="25" spans="1:26" ht="13.5" thickBot="1">
      <c r="A25" s="65" t="s">
        <v>114</v>
      </c>
      <c r="B25" s="303"/>
      <c r="C25" s="304"/>
      <c r="D25" s="304">
        <v>0.09777991892538322</v>
      </c>
      <c r="E25" s="304">
        <v>0</v>
      </c>
      <c r="F25" s="304">
        <v>1.9057783198658333</v>
      </c>
      <c r="G25" s="304"/>
      <c r="H25" s="304"/>
      <c r="I25" s="304"/>
      <c r="J25" s="305">
        <v>0.1012774157523261</v>
      </c>
      <c r="K25" s="291">
        <v>0.477944</v>
      </c>
      <c r="L25" s="289"/>
      <c r="M25" s="306" t="s">
        <v>114</v>
      </c>
      <c r="N25" s="307"/>
      <c r="O25" s="307"/>
      <c r="P25" s="307">
        <v>0.7085866530618029</v>
      </c>
      <c r="Q25" s="307">
        <v>0</v>
      </c>
      <c r="R25" s="307">
        <v>1.905778319865833</v>
      </c>
      <c r="S25" s="307"/>
      <c r="T25" s="307"/>
      <c r="U25" s="307"/>
      <c r="V25" s="305">
        <v>0.7340042131841835</v>
      </c>
      <c r="W25" s="293">
        <v>2</v>
      </c>
      <c r="X25" s="55"/>
      <c r="Y25" s="55"/>
      <c r="Z25" s="55"/>
    </row>
    <row r="26" spans="1:26" s="54" customFormat="1" ht="13.5" thickTop="1">
      <c r="A26" s="75" t="s">
        <v>84</v>
      </c>
      <c r="B26" s="76">
        <v>0.6744654202476235</v>
      </c>
      <c r="C26" s="76">
        <v>0.7693728469738368</v>
      </c>
      <c r="D26" s="76">
        <v>0.9488419200588583</v>
      </c>
      <c r="E26" s="76">
        <v>0.8714248454658069</v>
      </c>
      <c r="F26" s="76">
        <v>0.8445921670858635</v>
      </c>
      <c r="G26" s="76">
        <v>0.8674390138520098</v>
      </c>
      <c r="H26" s="76">
        <v>0.9347347068545989</v>
      </c>
      <c r="I26" s="76">
        <v>0.8908777237988666</v>
      </c>
      <c r="J26" s="87">
        <v>0.8682532222405446</v>
      </c>
      <c r="K26" s="291"/>
      <c r="L26" s="74"/>
      <c r="M26" s="77" t="s">
        <v>84</v>
      </c>
      <c r="N26" s="81">
        <v>0.9672959549194571</v>
      </c>
      <c r="O26" s="81">
        <v>0.9579806943807645</v>
      </c>
      <c r="P26" s="81">
        <v>1.0437489813940075</v>
      </c>
      <c r="Q26" s="81">
        <v>0.9864342697498646</v>
      </c>
      <c r="R26" s="81">
        <v>0.9197424827395019</v>
      </c>
      <c r="S26" s="81">
        <v>0.8971903715850444</v>
      </c>
      <c r="T26" s="81">
        <v>0.9528005508625307</v>
      </c>
      <c r="U26" s="81">
        <v>0.952953967580387</v>
      </c>
      <c r="V26" s="86">
        <v>0.9406968389420087</v>
      </c>
      <c r="W26" s="56"/>
      <c r="X26" s="56"/>
      <c r="Y26" s="53"/>
      <c r="Z26" s="53"/>
    </row>
    <row r="27" spans="1:26" ht="15">
      <c r="A27" s="64"/>
      <c r="B27" s="64"/>
      <c r="C27" s="78"/>
      <c r="D27" s="78"/>
      <c r="E27" s="78"/>
      <c r="F27" s="78"/>
      <c r="G27" s="747" t="s">
        <v>67</v>
      </c>
      <c r="H27" s="747"/>
      <c r="I27" s="747"/>
      <c r="J27" s="747"/>
      <c r="K27" s="747"/>
      <c r="L27" s="747"/>
      <c r="M27" s="747"/>
      <c r="N27" s="747"/>
      <c r="O27" s="747"/>
      <c r="P27" s="78"/>
      <c r="Q27" s="78"/>
      <c r="R27" s="78"/>
      <c r="S27" s="79"/>
      <c r="T27" s="80"/>
      <c r="U27" s="80"/>
      <c r="V27" s="80"/>
      <c r="W27" s="46"/>
      <c r="X27" s="46"/>
      <c r="Y27" s="46"/>
      <c r="Z27" s="45"/>
    </row>
    <row r="28" spans="1:26" ht="15">
      <c r="A28" s="69"/>
      <c r="B28" s="746" t="s">
        <v>70</v>
      </c>
      <c r="C28" s="746"/>
      <c r="D28" s="746"/>
      <c r="E28" s="746"/>
      <c r="F28" s="746"/>
      <c r="G28" s="746"/>
      <c r="H28" s="746"/>
      <c r="I28" s="746"/>
      <c r="J28" s="70"/>
      <c r="K28" s="70"/>
      <c r="L28" s="71"/>
      <c r="M28" s="71"/>
      <c r="N28" s="746" t="s">
        <v>257</v>
      </c>
      <c r="O28" s="746"/>
      <c r="P28" s="746"/>
      <c r="Q28" s="746"/>
      <c r="R28" s="746"/>
      <c r="S28" s="746"/>
      <c r="T28" s="746"/>
      <c r="U28" s="746"/>
      <c r="V28" s="70"/>
      <c r="W28" s="55"/>
      <c r="X28" s="55"/>
      <c r="Y28" s="55"/>
      <c r="Z28" s="55"/>
    </row>
    <row r="29" spans="1:26" ht="15" customHeight="1">
      <c r="A29" s="741" t="s">
        <v>11</v>
      </c>
      <c r="B29" s="743" t="s">
        <v>28</v>
      </c>
      <c r="C29" s="744"/>
      <c r="D29" s="744"/>
      <c r="E29" s="744"/>
      <c r="F29" s="744"/>
      <c r="G29" s="744"/>
      <c r="H29" s="744"/>
      <c r="I29" s="745"/>
      <c r="J29" s="739" t="s">
        <v>84</v>
      </c>
      <c r="K29" s="70"/>
      <c r="L29" s="71"/>
      <c r="M29" s="741" t="s">
        <v>11</v>
      </c>
      <c r="N29" s="743" t="s">
        <v>28</v>
      </c>
      <c r="O29" s="744"/>
      <c r="P29" s="744"/>
      <c r="Q29" s="744"/>
      <c r="R29" s="744"/>
      <c r="S29" s="744"/>
      <c r="T29" s="744"/>
      <c r="U29" s="745"/>
      <c r="V29" s="739" t="s">
        <v>84</v>
      </c>
      <c r="W29" s="55"/>
      <c r="X29" s="55"/>
      <c r="Y29" s="55"/>
      <c r="Z29" s="55"/>
    </row>
    <row r="30" spans="1:26" ht="12" customHeight="1">
      <c r="A30" s="742"/>
      <c r="B30" s="72" t="s">
        <v>115</v>
      </c>
      <c r="C30" s="73" t="s">
        <v>116</v>
      </c>
      <c r="D30" s="73" t="s">
        <v>117</v>
      </c>
      <c r="E30" s="73" t="s">
        <v>118</v>
      </c>
      <c r="F30" s="73" t="s">
        <v>119</v>
      </c>
      <c r="G30" s="73" t="s">
        <v>34</v>
      </c>
      <c r="H30" s="73" t="s">
        <v>35</v>
      </c>
      <c r="I30" s="665" t="s">
        <v>36</v>
      </c>
      <c r="J30" s="740"/>
      <c r="K30" s="73" t="s">
        <v>129</v>
      </c>
      <c r="L30" s="74"/>
      <c r="M30" s="742"/>
      <c r="N30" s="72" t="s">
        <v>115</v>
      </c>
      <c r="O30" s="73" t="s">
        <v>116</v>
      </c>
      <c r="P30" s="73" t="s">
        <v>117</v>
      </c>
      <c r="Q30" s="73" t="s">
        <v>118</v>
      </c>
      <c r="R30" s="73" t="s">
        <v>119</v>
      </c>
      <c r="S30" s="73" t="s">
        <v>34</v>
      </c>
      <c r="T30" s="73" t="s">
        <v>35</v>
      </c>
      <c r="U30" s="665" t="s">
        <v>36</v>
      </c>
      <c r="V30" s="740"/>
      <c r="W30" s="73" t="s">
        <v>128</v>
      </c>
      <c r="X30" s="56"/>
      <c r="Y30" s="294"/>
      <c r="Z30" s="294"/>
    </row>
    <row r="31" spans="1:26" ht="12.75">
      <c r="A31" s="64" t="s">
        <v>16</v>
      </c>
      <c r="B31" s="288">
        <v>1.5648982328680232</v>
      </c>
      <c r="C31" s="289">
        <v>0.7858898901844505</v>
      </c>
      <c r="D31" s="289">
        <v>0.76029739415772</v>
      </c>
      <c r="E31" s="289">
        <v>0.6484031447763492</v>
      </c>
      <c r="F31" s="289">
        <v>0.5638078334265063</v>
      </c>
      <c r="G31" s="289">
        <v>0.968447147109038</v>
      </c>
      <c r="H31" s="289">
        <v>1.0033132518202863</v>
      </c>
      <c r="I31" s="289">
        <v>0.5247801679428782</v>
      </c>
      <c r="J31" s="290">
        <v>0.844266871774467</v>
      </c>
      <c r="K31" s="291">
        <v>11.535058</v>
      </c>
      <c r="L31" s="289"/>
      <c r="M31" s="66" t="s">
        <v>16</v>
      </c>
      <c r="N31" s="292">
        <v>1.7474635566475258</v>
      </c>
      <c r="O31" s="292">
        <v>1.0709865162797598</v>
      </c>
      <c r="P31" s="292">
        <v>0.9278245298249198</v>
      </c>
      <c r="Q31" s="292">
        <v>0.8791105745280637</v>
      </c>
      <c r="R31" s="292">
        <v>0.6955739470459553</v>
      </c>
      <c r="S31" s="292">
        <v>1.025803049917628</v>
      </c>
      <c r="T31" s="292">
        <v>0.7356790869732079</v>
      </c>
      <c r="U31" s="292">
        <v>0.5973662123696617</v>
      </c>
      <c r="V31" s="308">
        <v>0.8990012204753937</v>
      </c>
      <c r="W31" s="111">
        <v>83</v>
      </c>
      <c r="X31" s="294"/>
      <c r="Y31" s="294"/>
      <c r="Z31" s="294"/>
    </row>
    <row r="32" spans="1:26" ht="12.75">
      <c r="A32" s="64" t="s">
        <v>17</v>
      </c>
      <c r="B32" s="295">
        <v>0.4657250866982224</v>
      </c>
      <c r="C32" s="289">
        <v>0.5630822239522613</v>
      </c>
      <c r="D32" s="289">
        <v>0.7375809274500944</v>
      </c>
      <c r="E32" s="289">
        <v>0.8202828782052645</v>
      </c>
      <c r="F32" s="289">
        <v>0.6575819816527879</v>
      </c>
      <c r="G32" s="289">
        <v>1.1583296649524917</v>
      </c>
      <c r="H32" s="289">
        <v>0.8329070798022512</v>
      </c>
      <c r="I32" s="289">
        <v>0.9872789621384064</v>
      </c>
      <c r="J32" s="296">
        <v>0.8265053083758357</v>
      </c>
      <c r="K32" s="291">
        <v>34.709625</v>
      </c>
      <c r="L32" s="289"/>
      <c r="M32" s="66" t="s">
        <v>17</v>
      </c>
      <c r="N32" s="292">
        <v>0.8068947542965129</v>
      </c>
      <c r="O32" s="292">
        <v>0.8327650482957463</v>
      </c>
      <c r="P32" s="292">
        <v>1.251680642028724</v>
      </c>
      <c r="Q32" s="292">
        <v>0.72598217610046</v>
      </c>
      <c r="R32" s="292">
        <v>0.9222458981988981</v>
      </c>
      <c r="S32" s="292">
        <v>1.0694142676812524</v>
      </c>
      <c r="T32" s="292">
        <v>0.9064980121905235</v>
      </c>
      <c r="U32" s="292">
        <v>1.0059708745189113</v>
      </c>
      <c r="V32" s="308">
        <v>0.9499687800383628</v>
      </c>
      <c r="W32" s="111">
        <v>243</v>
      </c>
      <c r="X32" s="294"/>
      <c r="Y32" s="294"/>
      <c r="Z32" s="294"/>
    </row>
    <row r="33" spans="1:26" ht="12.75">
      <c r="A33" s="64" t="s">
        <v>18</v>
      </c>
      <c r="B33" s="295">
        <v>1.142035609125742</v>
      </c>
      <c r="C33" s="289">
        <v>0.4361176097380159</v>
      </c>
      <c r="D33" s="289">
        <v>0.6348242190271726</v>
      </c>
      <c r="E33" s="289">
        <v>1.4085806973689134</v>
      </c>
      <c r="F33" s="289">
        <v>1.0747630143869635</v>
      </c>
      <c r="G33" s="289">
        <v>1.2103856352331404</v>
      </c>
      <c r="H33" s="289">
        <v>0.8158743915056116</v>
      </c>
      <c r="I33" s="289">
        <v>0.9875290583495997</v>
      </c>
      <c r="J33" s="296">
        <v>1.0082734585119997</v>
      </c>
      <c r="K33" s="291">
        <v>105.568196</v>
      </c>
      <c r="L33" s="289"/>
      <c r="M33" s="66" t="s">
        <v>18</v>
      </c>
      <c r="N33" s="292">
        <v>1.1010871400362623</v>
      </c>
      <c r="O33" s="292">
        <v>0.6661566867142822</v>
      </c>
      <c r="P33" s="292">
        <v>1.0067121206019924</v>
      </c>
      <c r="Q33" s="292">
        <v>1.1160049053488348</v>
      </c>
      <c r="R33" s="292">
        <v>1.184609189769184</v>
      </c>
      <c r="S33" s="292">
        <v>1.0530234875664457</v>
      </c>
      <c r="T33" s="292">
        <v>0.9072272086117678</v>
      </c>
      <c r="U33" s="292">
        <v>0.9360064331171553</v>
      </c>
      <c r="V33" s="308">
        <v>1.006214415227204</v>
      </c>
      <c r="W33" s="111">
        <v>575</v>
      </c>
      <c r="X33" s="294"/>
      <c r="Y33" s="294"/>
      <c r="Z33" s="294"/>
    </row>
    <row r="34" spans="1:26" ht="12.75">
      <c r="A34" s="64" t="s">
        <v>19</v>
      </c>
      <c r="B34" s="295">
        <v>0.5249214814454117</v>
      </c>
      <c r="C34" s="289">
        <v>0.5135683816900743</v>
      </c>
      <c r="D34" s="289">
        <v>1.4014147910641896</v>
      </c>
      <c r="E34" s="289">
        <v>0.7566449196753972</v>
      </c>
      <c r="F34" s="289">
        <v>0.8807964099413127</v>
      </c>
      <c r="G34" s="289">
        <v>0.7017927402098444</v>
      </c>
      <c r="H34" s="289">
        <v>0.9855364743482856</v>
      </c>
      <c r="I34" s="289">
        <v>0.8981765373555163</v>
      </c>
      <c r="J34" s="296">
        <v>0.8519351430088897</v>
      </c>
      <c r="K34" s="291">
        <v>146.178005</v>
      </c>
      <c r="L34" s="289"/>
      <c r="M34" s="66" t="s">
        <v>19</v>
      </c>
      <c r="N34" s="292">
        <v>0.9171250168776476</v>
      </c>
      <c r="O34" s="292">
        <v>0.667223994944797</v>
      </c>
      <c r="P34" s="292">
        <v>1.4078590497179717</v>
      </c>
      <c r="Q34" s="292">
        <v>1.1004038132660146</v>
      </c>
      <c r="R34" s="292">
        <v>0.9841201441823364</v>
      </c>
      <c r="S34" s="292">
        <v>0.8265808074311455</v>
      </c>
      <c r="T34" s="292">
        <v>0.9610624236495411</v>
      </c>
      <c r="U34" s="292">
        <v>0.8531104147202396</v>
      </c>
      <c r="V34" s="308">
        <v>0.9307689123506215</v>
      </c>
      <c r="W34" s="111">
        <v>807</v>
      </c>
      <c r="X34" s="294"/>
      <c r="Y34" s="294"/>
      <c r="Z34" s="294"/>
    </row>
    <row r="35" spans="1:26" ht="12.75">
      <c r="A35" s="64" t="s">
        <v>104</v>
      </c>
      <c r="B35" s="295">
        <v>0.5931075068339557</v>
      </c>
      <c r="C35" s="289">
        <v>0.7204772464906661</v>
      </c>
      <c r="D35" s="289">
        <v>1.2045480361066425</v>
      </c>
      <c r="E35" s="289">
        <v>1.093659897656444</v>
      </c>
      <c r="F35" s="289">
        <v>0.9062637200701114</v>
      </c>
      <c r="G35" s="289">
        <v>1.103799406171161</v>
      </c>
      <c r="H35" s="289">
        <v>0.8499025208086528</v>
      </c>
      <c r="I35" s="289">
        <v>0.8603634578635212</v>
      </c>
      <c r="J35" s="296">
        <v>0.9378103173486044</v>
      </c>
      <c r="K35" s="291">
        <v>200.307699</v>
      </c>
      <c r="L35" s="289"/>
      <c r="M35" s="66" t="s">
        <v>104</v>
      </c>
      <c r="N35" s="292">
        <v>0.836075882247073</v>
      </c>
      <c r="O35" s="292">
        <v>0.4319195167817346</v>
      </c>
      <c r="P35" s="292">
        <v>1.0689985087470801</v>
      </c>
      <c r="Q35" s="292">
        <v>1.0697720621384745</v>
      </c>
      <c r="R35" s="292">
        <v>0.9716412093711999</v>
      </c>
      <c r="S35" s="292">
        <v>1.1004282011204087</v>
      </c>
      <c r="T35" s="292">
        <v>0.9752097049154742</v>
      </c>
      <c r="U35" s="292">
        <v>1.0013658630371831</v>
      </c>
      <c r="V35" s="308">
        <v>0.9953756734670476</v>
      </c>
      <c r="W35" s="111">
        <v>1012</v>
      </c>
      <c r="X35" s="294"/>
      <c r="Y35" s="294"/>
      <c r="Z35" s="294"/>
    </row>
    <row r="36" spans="1:26" ht="12.75">
      <c r="A36" s="64" t="s">
        <v>105</v>
      </c>
      <c r="B36" s="295">
        <v>0.6760155012720837</v>
      </c>
      <c r="C36" s="289">
        <v>0.40939108311002415</v>
      </c>
      <c r="D36" s="289">
        <v>0.8735214128019503</v>
      </c>
      <c r="E36" s="289">
        <v>0.6181224000255974</v>
      </c>
      <c r="F36" s="289">
        <v>0.8923217829416464</v>
      </c>
      <c r="G36" s="289">
        <v>0.8939703252378947</v>
      </c>
      <c r="H36" s="289">
        <v>0.9852128450227642</v>
      </c>
      <c r="I36" s="289">
        <v>0.9336236556837176</v>
      </c>
      <c r="J36" s="296">
        <v>0.853963070545024</v>
      </c>
      <c r="K36" s="291">
        <v>186.348549</v>
      </c>
      <c r="L36" s="289"/>
      <c r="M36" s="66" t="s">
        <v>105</v>
      </c>
      <c r="N36" s="292">
        <v>1.0699279210958113</v>
      </c>
      <c r="O36" s="292">
        <v>0.5650897094784582</v>
      </c>
      <c r="P36" s="292">
        <v>1.1223235389405115</v>
      </c>
      <c r="Q36" s="292">
        <v>0.936226559778231</v>
      </c>
      <c r="R36" s="292">
        <v>1.0272195292481625</v>
      </c>
      <c r="S36" s="292">
        <v>1.0567296736095193</v>
      </c>
      <c r="T36" s="292">
        <v>1.0948843966969308</v>
      </c>
      <c r="U36" s="292">
        <v>0.9217496888228488</v>
      </c>
      <c r="V36" s="308">
        <v>1.013966194991968</v>
      </c>
      <c r="W36" s="111">
        <v>1006</v>
      </c>
      <c r="X36" s="294"/>
      <c r="Y36" s="294"/>
      <c r="Z36" s="294"/>
    </row>
    <row r="37" spans="1:26" ht="12.75">
      <c r="A37" s="64" t="s">
        <v>106</v>
      </c>
      <c r="B37" s="295">
        <v>1.1555262252113574</v>
      </c>
      <c r="C37" s="289">
        <v>0.6711167922677068</v>
      </c>
      <c r="D37" s="289">
        <v>0.44848089098596655</v>
      </c>
      <c r="E37" s="289">
        <v>0.7183068160361192</v>
      </c>
      <c r="F37" s="289">
        <v>0.7774423018044984</v>
      </c>
      <c r="G37" s="289">
        <v>1.249214275389076</v>
      </c>
      <c r="H37" s="289">
        <v>0.9154919868635781</v>
      </c>
      <c r="I37" s="289">
        <v>0.8996820843748954</v>
      </c>
      <c r="J37" s="296">
        <v>0.8699100844564503</v>
      </c>
      <c r="K37" s="291">
        <v>176.871273</v>
      </c>
      <c r="L37" s="289"/>
      <c r="M37" s="66" t="s">
        <v>106</v>
      </c>
      <c r="N37" s="292">
        <v>0.9897784168918412</v>
      </c>
      <c r="O37" s="292">
        <v>0.9045435221115662</v>
      </c>
      <c r="P37" s="292">
        <v>0.7418694814183951</v>
      </c>
      <c r="Q37" s="292">
        <v>0.8207037892735694</v>
      </c>
      <c r="R37" s="292">
        <v>0.8639079207065434</v>
      </c>
      <c r="S37" s="292">
        <v>1.181051353527284</v>
      </c>
      <c r="T37" s="292">
        <v>1.06340232133849</v>
      </c>
      <c r="U37" s="292">
        <v>0.8394450826190687</v>
      </c>
      <c r="V37" s="308">
        <v>0.9480614083415928</v>
      </c>
      <c r="W37" s="111">
        <v>836</v>
      </c>
      <c r="X37" s="294"/>
      <c r="Y37" s="294"/>
      <c r="Z37" s="294"/>
    </row>
    <row r="38" spans="1:26" ht="12.75">
      <c r="A38" s="64" t="s">
        <v>107</v>
      </c>
      <c r="B38" s="295">
        <v>0.9774475642984788</v>
      </c>
      <c r="C38" s="289">
        <v>1.0336866272508656</v>
      </c>
      <c r="D38" s="289">
        <v>0.7503765450077043</v>
      </c>
      <c r="E38" s="289">
        <v>0.8866467651540597</v>
      </c>
      <c r="F38" s="289">
        <v>1.4059513494707283</v>
      </c>
      <c r="G38" s="289">
        <v>1.5282558787075233</v>
      </c>
      <c r="H38" s="289">
        <v>0.97342486954279</v>
      </c>
      <c r="I38" s="289">
        <v>0.7981107310625067</v>
      </c>
      <c r="J38" s="296">
        <v>1.0841400594875203</v>
      </c>
      <c r="K38" s="291">
        <v>184.896372</v>
      </c>
      <c r="L38" s="289"/>
      <c r="M38" s="66" t="s">
        <v>107</v>
      </c>
      <c r="N38" s="292">
        <v>0.8037099250138637</v>
      </c>
      <c r="O38" s="292">
        <v>0.7944219147156989</v>
      </c>
      <c r="P38" s="292">
        <v>0.8938894554844445</v>
      </c>
      <c r="Q38" s="292">
        <v>0.8402413925734452</v>
      </c>
      <c r="R38" s="292">
        <v>0.9518728637989865</v>
      </c>
      <c r="S38" s="292">
        <v>1.2297763015141594</v>
      </c>
      <c r="T38" s="292">
        <v>1.029821138679437</v>
      </c>
      <c r="U38" s="292">
        <v>0.9467639735325734</v>
      </c>
      <c r="V38" s="308">
        <v>0.9793408764343939</v>
      </c>
      <c r="W38" s="111">
        <v>678</v>
      </c>
      <c r="X38" s="294"/>
      <c r="Y38" s="294"/>
      <c r="Z38" s="294"/>
    </row>
    <row r="39" spans="1:26" ht="12.75">
      <c r="A39" s="64" t="s">
        <v>108</v>
      </c>
      <c r="B39" s="295">
        <v>0.30541014574168845</v>
      </c>
      <c r="C39" s="289">
        <v>1.0679622272885025</v>
      </c>
      <c r="D39" s="289">
        <v>0.5910101757118065</v>
      </c>
      <c r="E39" s="289">
        <v>0.9320135204859279</v>
      </c>
      <c r="F39" s="289">
        <v>1.1425185949787289</v>
      </c>
      <c r="G39" s="289">
        <v>1.9834572438409368</v>
      </c>
      <c r="H39" s="289">
        <v>0.9718202077457492</v>
      </c>
      <c r="I39" s="289">
        <v>1.02174783274756</v>
      </c>
      <c r="J39" s="296">
        <v>1.1240857945295313</v>
      </c>
      <c r="K39" s="291">
        <v>110.842467</v>
      </c>
      <c r="L39" s="289"/>
      <c r="M39" s="66" t="s">
        <v>108</v>
      </c>
      <c r="N39" s="292">
        <v>0.45459298017520017</v>
      </c>
      <c r="O39" s="292">
        <v>1.3808227569632694</v>
      </c>
      <c r="P39" s="292">
        <v>1.2360531997297166</v>
      </c>
      <c r="Q39" s="292">
        <v>0.8062555948802769</v>
      </c>
      <c r="R39" s="292">
        <v>1.1313920075610335</v>
      </c>
      <c r="S39" s="292">
        <v>1.082687599057836</v>
      </c>
      <c r="T39" s="292">
        <v>0.9145478348937397</v>
      </c>
      <c r="U39" s="292">
        <v>0.7616128576144897</v>
      </c>
      <c r="V39" s="308">
        <v>0.9706836752816238</v>
      </c>
      <c r="W39" s="111">
        <v>405</v>
      </c>
      <c r="X39" s="294"/>
      <c r="Y39" s="294"/>
      <c r="Z39" s="294"/>
    </row>
    <row r="40" spans="1:26" ht="12.75">
      <c r="A40" s="64" t="s">
        <v>109</v>
      </c>
      <c r="B40" s="295">
        <v>0.07026356441139321</v>
      </c>
      <c r="C40" s="289">
        <v>0.7569045945605526</v>
      </c>
      <c r="D40" s="289">
        <v>0.8106407851998858</v>
      </c>
      <c r="E40" s="289">
        <v>1.1396779621620372</v>
      </c>
      <c r="F40" s="289">
        <v>0.946326650300591</v>
      </c>
      <c r="G40" s="289">
        <v>1.3894316787676324</v>
      </c>
      <c r="H40" s="289">
        <v>1.0567035187641811</v>
      </c>
      <c r="I40" s="289">
        <v>0.7016395897182174</v>
      </c>
      <c r="J40" s="296">
        <v>1.0216786856500348</v>
      </c>
      <c r="K40" s="291">
        <v>52.193857</v>
      </c>
      <c r="L40" s="289"/>
      <c r="M40" s="66" t="s">
        <v>109</v>
      </c>
      <c r="N40" s="292">
        <v>0.21913341499705263</v>
      </c>
      <c r="O40" s="292">
        <v>1.3702780598689712</v>
      </c>
      <c r="P40" s="292">
        <v>0.7913781983220146</v>
      </c>
      <c r="Q40" s="292">
        <v>1.3625480143340047</v>
      </c>
      <c r="R40" s="292">
        <v>0.9123151136402516</v>
      </c>
      <c r="S40" s="292">
        <v>1.4155675502680343</v>
      </c>
      <c r="T40" s="292">
        <v>1.068647191794747</v>
      </c>
      <c r="U40" s="292">
        <v>0.7562414497451087</v>
      </c>
      <c r="V40" s="308">
        <v>1.0572223242307435</v>
      </c>
      <c r="W40" s="111">
        <v>223</v>
      </c>
      <c r="X40" s="294"/>
      <c r="Y40" s="294"/>
      <c r="Z40" s="294"/>
    </row>
    <row r="41" spans="1:26" ht="12.75">
      <c r="A41" s="64" t="s">
        <v>110</v>
      </c>
      <c r="B41" s="295">
        <v>0.11371945603798257</v>
      </c>
      <c r="C41" s="289">
        <v>0.2359423977369658</v>
      </c>
      <c r="D41" s="289">
        <v>0.28126934897171096</v>
      </c>
      <c r="E41" s="289">
        <v>1.9874526625782476</v>
      </c>
      <c r="F41" s="289">
        <v>0.9294281870893915</v>
      </c>
      <c r="G41" s="289">
        <v>0.4116793983741986</v>
      </c>
      <c r="H41" s="289">
        <v>0.40862733224938735</v>
      </c>
      <c r="I41" s="289">
        <v>0.3389809088150863</v>
      </c>
      <c r="J41" s="296">
        <v>0.619915881326075</v>
      </c>
      <c r="K41" s="291">
        <v>14.739959</v>
      </c>
      <c r="L41" s="289"/>
      <c r="M41" s="66" t="s">
        <v>110</v>
      </c>
      <c r="N41" s="292">
        <v>0.3900840631156013</v>
      </c>
      <c r="O41" s="292">
        <v>0.3335178798935411</v>
      </c>
      <c r="P41" s="292">
        <v>0.7688433904455834</v>
      </c>
      <c r="Q41" s="292">
        <v>2.2218990369077622</v>
      </c>
      <c r="R41" s="292">
        <v>1.1842661779218944</v>
      </c>
      <c r="S41" s="292">
        <v>0.6906454150468154</v>
      </c>
      <c r="T41" s="292">
        <v>0.5913400030572279</v>
      </c>
      <c r="U41" s="292">
        <v>0.6656253328126664</v>
      </c>
      <c r="V41" s="308">
        <v>0.8248244916929415</v>
      </c>
      <c r="W41" s="111">
        <v>69</v>
      </c>
      <c r="X41" s="294"/>
      <c r="Y41" s="297"/>
      <c r="Z41" s="294"/>
    </row>
    <row r="42" spans="1:24" ht="12.75">
      <c r="A42" s="64" t="s">
        <v>111</v>
      </c>
      <c r="B42" s="295">
        <v>0</v>
      </c>
      <c r="C42" s="289">
        <v>1.1531965832457833</v>
      </c>
      <c r="D42" s="289">
        <v>5.561686193749905</v>
      </c>
      <c r="E42" s="289">
        <v>0</v>
      </c>
      <c r="F42" s="289">
        <v>0.7037640474322958</v>
      </c>
      <c r="G42" s="289">
        <v>0.14100618144695487</v>
      </c>
      <c r="H42" s="289">
        <v>0.29730730913030656</v>
      </c>
      <c r="I42" s="289">
        <v>0</v>
      </c>
      <c r="J42" s="296">
        <v>0.42520315809101084</v>
      </c>
      <c r="K42" s="291">
        <v>4.186935</v>
      </c>
      <c r="L42" s="289"/>
      <c r="M42" s="66" t="s">
        <v>111</v>
      </c>
      <c r="N42" s="292">
        <v>0</v>
      </c>
      <c r="O42" s="292">
        <v>1.757515575981792</v>
      </c>
      <c r="P42" s="292">
        <v>1.026504342113367</v>
      </c>
      <c r="Q42" s="292">
        <v>0</v>
      </c>
      <c r="R42" s="292">
        <v>0.998926154384037</v>
      </c>
      <c r="S42" s="292">
        <v>0.24277825726483585</v>
      </c>
      <c r="T42" s="292">
        <v>0.7020036588430699</v>
      </c>
      <c r="U42" s="292">
        <v>0</v>
      </c>
      <c r="V42" s="308">
        <v>0.6024769837056749</v>
      </c>
      <c r="W42" s="111">
        <v>18</v>
      </c>
      <c r="X42" s="294"/>
    </row>
    <row r="43" spans="1:24" ht="12.75">
      <c r="A43" s="64" t="s">
        <v>112</v>
      </c>
      <c r="B43" s="295">
        <v>0</v>
      </c>
      <c r="C43" s="289">
        <v>1.0326354462308178</v>
      </c>
      <c r="D43" s="289">
        <v>0</v>
      </c>
      <c r="E43" s="289">
        <v>0</v>
      </c>
      <c r="F43" s="289">
        <v>0.5084182892011297</v>
      </c>
      <c r="G43" s="289">
        <v>0.10992743543056162</v>
      </c>
      <c r="H43" s="289"/>
      <c r="I43" s="289"/>
      <c r="J43" s="296">
        <v>0.3519681654668219</v>
      </c>
      <c r="K43" s="291">
        <v>1.745421</v>
      </c>
      <c r="L43" s="289"/>
      <c r="M43" s="66" t="s">
        <v>112</v>
      </c>
      <c r="N43" s="292">
        <v>0</v>
      </c>
      <c r="O43" s="292">
        <v>1.8314347459800004</v>
      </c>
      <c r="P43" s="292">
        <v>0</v>
      </c>
      <c r="Q43" s="292">
        <v>0</v>
      </c>
      <c r="R43" s="292">
        <v>0.7628482720215226</v>
      </c>
      <c r="S43" s="292">
        <v>0.5417382212567243</v>
      </c>
      <c r="T43" s="292"/>
      <c r="U43" s="292"/>
      <c r="V43" s="308">
        <v>0.6244848000399669</v>
      </c>
      <c r="W43" s="111">
        <v>8</v>
      </c>
      <c r="X43" s="297"/>
    </row>
    <row r="44" spans="1:23" ht="12.75">
      <c r="A44" s="64" t="s">
        <v>113</v>
      </c>
      <c r="B44" s="295">
        <v>0</v>
      </c>
      <c r="C44" s="289">
        <v>1.7606450727022451</v>
      </c>
      <c r="D44" s="289">
        <v>0</v>
      </c>
      <c r="E44" s="289">
        <v>0</v>
      </c>
      <c r="F44" s="289">
        <v>0.5773743952671746</v>
      </c>
      <c r="G44" s="289"/>
      <c r="H44" s="289"/>
      <c r="I44" s="289"/>
      <c r="J44" s="296">
        <v>0.36264757784197543</v>
      </c>
      <c r="K44" s="291">
        <v>0.437705</v>
      </c>
      <c r="L44" s="289"/>
      <c r="M44" s="66" t="s">
        <v>113</v>
      </c>
      <c r="N44" s="292">
        <v>0</v>
      </c>
      <c r="O44" s="292">
        <v>2.850139656843185</v>
      </c>
      <c r="P44" s="292">
        <v>0</v>
      </c>
      <c r="Q44" s="292">
        <v>0</v>
      </c>
      <c r="R44" s="292">
        <v>1.3848785115325761</v>
      </c>
      <c r="S44" s="292"/>
      <c r="T44" s="292"/>
      <c r="U44" s="292"/>
      <c r="V44" s="308">
        <v>0.9216731439807064</v>
      </c>
      <c r="W44" s="111">
        <v>3</v>
      </c>
    </row>
    <row r="45" spans="1:24" ht="13.5" thickBot="1">
      <c r="A45" s="65" t="s">
        <v>114</v>
      </c>
      <c r="B45" s="303"/>
      <c r="C45" s="304"/>
      <c r="D45" s="304">
        <v>0</v>
      </c>
      <c r="E45" s="304"/>
      <c r="F45" s="304"/>
      <c r="G45" s="304"/>
      <c r="H45" s="304"/>
      <c r="I45" s="304"/>
      <c r="J45" s="305">
        <v>0</v>
      </c>
      <c r="K45" s="291">
        <v>0</v>
      </c>
      <c r="L45" s="289"/>
      <c r="M45" s="306" t="s">
        <v>114</v>
      </c>
      <c r="N45" s="307"/>
      <c r="O45" s="307"/>
      <c r="P45" s="307">
        <v>0</v>
      </c>
      <c r="Q45" s="307"/>
      <c r="R45" s="307"/>
      <c r="S45" s="307"/>
      <c r="T45" s="307"/>
      <c r="U45" s="307"/>
      <c r="V45" s="305">
        <v>0</v>
      </c>
      <c r="W45" s="111">
        <v>0</v>
      </c>
      <c r="X45" s="55"/>
    </row>
    <row r="46" spans="1:22" ht="13.5" thickTop="1">
      <c r="A46" s="75" t="s">
        <v>84</v>
      </c>
      <c r="B46" s="82">
        <v>0.7354596452580513</v>
      </c>
      <c r="C46" s="82">
        <v>0.665560771197296</v>
      </c>
      <c r="D46" s="82">
        <v>0.8482512468026896</v>
      </c>
      <c r="E46" s="82">
        <v>0.8753986093856612</v>
      </c>
      <c r="F46" s="82">
        <v>0.9507527827979741</v>
      </c>
      <c r="G46" s="82">
        <v>1.1197504177334123</v>
      </c>
      <c r="H46" s="82">
        <v>0.9160722024312247</v>
      </c>
      <c r="I46" s="82">
        <v>0.8825507385466752</v>
      </c>
      <c r="J46" s="87">
        <v>0.9272260453528739</v>
      </c>
      <c r="K46" s="74"/>
      <c r="L46" s="74"/>
      <c r="M46" s="77" t="s">
        <v>84</v>
      </c>
      <c r="N46" s="81">
        <v>0.9065762607293454</v>
      </c>
      <c r="O46" s="81">
        <v>0.7749456884449432</v>
      </c>
      <c r="P46" s="81">
        <v>1.029890269534692</v>
      </c>
      <c r="Q46" s="81">
        <v>0.9485987386681203</v>
      </c>
      <c r="R46" s="81">
        <v>0.9835804794002622</v>
      </c>
      <c r="S46" s="81">
        <v>1.0567348205179952</v>
      </c>
      <c r="T46" s="81">
        <v>0.9854516035377199</v>
      </c>
      <c r="U46" s="81">
        <v>0.8999611885309143</v>
      </c>
      <c r="V46" s="86">
        <v>0.9736377732079645</v>
      </c>
    </row>
    <row r="48" ht="12.75">
      <c r="A48" s="114" t="s">
        <v>266</v>
      </c>
    </row>
  </sheetData>
  <sheetProtection/>
  <mergeCells count="24">
    <mergeCell ref="A6:Y6"/>
    <mergeCell ref="N8:U8"/>
    <mergeCell ref="J9:J10"/>
    <mergeCell ref="M9:M10"/>
    <mergeCell ref="A9:A10"/>
    <mergeCell ref="A1:Y1"/>
    <mergeCell ref="A5:Y5"/>
    <mergeCell ref="A4:Y4"/>
    <mergeCell ref="A3:Y3"/>
    <mergeCell ref="A2:Y2"/>
    <mergeCell ref="B28:I28"/>
    <mergeCell ref="N28:U28"/>
    <mergeCell ref="G7:O7"/>
    <mergeCell ref="G27:O27"/>
    <mergeCell ref="B8:I8"/>
    <mergeCell ref="V9:V10"/>
    <mergeCell ref="N9:U9"/>
    <mergeCell ref="B9:I9"/>
    <mergeCell ref="V29:V30"/>
    <mergeCell ref="J29:J30"/>
    <mergeCell ref="M29:M30"/>
    <mergeCell ref="A29:A30"/>
    <mergeCell ref="B29:I29"/>
    <mergeCell ref="N29:U29"/>
  </mergeCells>
  <printOptions/>
  <pageMargins left="0.75" right="0.75" top="1" bottom="1" header="0.5" footer="0.5"/>
  <pageSetup horizontalDpi="600" verticalDpi="600" orientation="landscape" scale="53" r:id="rId1"/>
  <headerFooter alignWithMargins="0">
    <oddFooter>&amp;L"&amp;F"&amp;R&amp;"Arial,Italic"&amp;A</oddFooter>
  </headerFooter>
  <ignoredErrors>
    <ignoredError sqref="B10:I10 B27:F27 W27:X27 X10:X25 L30 M27:U27 X26" numberStoredAsText="1"/>
  </ignoredErrors>
</worksheet>
</file>

<file path=xl/worksheets/sheet26.xml><?xml version="1.0" encoding="utf-8"?>
<worksheet xmlns="http://schemas.openxmlformats.org/spreadsheetml/2006/main" xmlns:r="http://schemas.openxmlformats.org/officeDocument/2006/relationships">
  <dimension ref="A1:AY109"/>
  <sheetViews>
    <sheetView zoomScale="85" zoomScaleNormal="85" zoomScaleSheetLayoutView="85" workbookViewId="0" topLeftCell="A1">
      <selection activeCell="A9" sqref="A9:A10"/>
    </sheetView>
  </sheetViews>
  <sheetFormatPr defaultColWidth="9.140625" defaultRowHeight="12.75"/>
  <cols>
    <col min="1" max="1" width="6.7109375" style="52" bestFit="1" customWidth="1"/>
    <col min="2" max="2" width="8.8515625" style="52" customWidth="1"/>
    <col min="3" max="10" width="8.8515625" style="275" customWidth="1"/>
    <col min="11" max="11" width="17.7109375" style="275" bestFit="1" customWidth="1"/>
    <col min="12" max="12" width="4.57421875" style="275" customWidth="1"/>
    <col min="13" max="13" width="7.28125" style="275" customWidth="1"/>
    <col min="14" max="16" width="8.00390625" style="275" customWidth="1"/>
    <col min="17" max="17" width="7.7109375" style="275" customWidth="1"/>
    <col min="18" max="18" width="8.00390625" style="275" customWidth="1"/>
    <col min="19" max="21" width="7.8515625" style="275" bestFit="1" customWidth="1"/>
    <col min="22" max="22" width="7.8515625" style="275" customWidth="1"/>
    <col min="23" max="23" width="12.00390625" style="275" bestFit="1" customWidth="1"/>
    <col min="24" max="24" width="7.28125" style="275" customWidth="1"/>
    <col min="25" max="25" width="1.57421875" style="275" customWidth="1"/>
    <col min="26" max="26" width="11.00390625" style="275" customWidth="1"/>
    <col min="27" max="27" width="3.00390625" style="275" customWidth="1"/>
    <col min="28" max="28" width="9.140625" style="275" customWidth="1"/>
    <col min="29" max="29" width="9.140625" style="186" customWidth="1"/>
    <col min="30" max="30" width="9.140625" style="310" customWidth="1"/>
    <col min="31" max="39" width="0" style="275" hidden="1" customWidth="1"/>
    <col min="40" max="40" width="12.00390625" style="275" hidden="1" customWidth="1"/>
    <col min="41" max="41" width="0" style="310" hidden="1" customWidth="1"/>
    <col min="42" max="51" width="0" style="275" hidden="1" customWidth="1"/>
    <col min="52" max="16384" width="9.140625" style="275" customWidth="1"/>
  </cols>
  <sheetData>
    <row r="1" spans="1:41" s="189" customFormat="1" ht="15.75">
      <c r="A1" s="683" t="s">
        <v>126</v>
      </c>
      <c r="B1" s="683"/>
      <c r="C1" s="683"/>
      <c r="D1" s="683"/>
      <c r="E1" s="683"/>
      <c r="F1" s="683"/>
      <c r="G1" s="683"/>
      <c r="H1" s="683"/>
      <c r="I1" s="683"/>
      <c r="J1" s="683"/>
      <c r="K1" s="683"/>
      <c r="L1" s="683"/>
      <c r="M1" s="683"/>
      <c r="N1" s="683"/>
      <c r="O1" s="683"/>
      <c r="P1" s="683"/>
      <c r="Q1" s="683"/>
      <c r="R1" s="683"/>
      <c r="S1" s="683"/>
      <c r="T1" s="683"/>
      <c r="U1" s="683"/>
      <c r="V1" s="683"/>
      <c r="W1" s="683"/>
      <c r="X1" s="683"/>
      <c r="Y1" s="683"/>
      <c r="Z1" s="60"/>
      <c r="AD1" s="309"/>
      <c r="AO1" s="309"/>
    </row>
    <row r="2" spans="1:27" ht="18">
      <c r="A2" s="751" t="s">
        <v>80</v>
      </c>
      <c r="B2" s="751"/>
      <c r="C2" s="751"/>
      <c r="D2" s="751"/>
      <c r="E2" s="751"/>
      <c r="F2" s="751"/>
      <c r="G2" s="751"/>
      <c r="H2" s="751"/>
      <c r="I2" s="751"/>
      <c r="J2" s="751"/>
      <c r="K2" s="751"/>
      <c r="L2" s="751"/>
      <c r="M2" s="751"/>
      <c r="N2" s="751"/>
      <c r="O2" s="751"/>
      <c r="P2" s="751"/>
      <c r="Q2" s="751"/>
      <c r="R2" s="751"/>
      <c r="S2" s="751"/>
      <c r="T2" s="751"/>
      <c r="U2" s="751"/>
      <c r="V2" s="751"/>
      <c r="W2" s="751"/>
      <c r="X2" s="751"/>
      <c r="Y2" s="751"/>
      <c r="Z2" s="61"/>
      <c r="AA2" s="38"/>
    </row>
    <row r="3" spans="1:32" ht="15.75">
      <c r="A3" s="750" t="s">
        <v>102</v>
      </c>
      <c r="B3" s="750"/>
      <c r="C3" s="750"/>
      <c r="D3" s="750"/>
      <c r="E3" s="750"/>
      <c r="F3" s="750"/>
      <c r="G3" s="750"/>
      <c r="H3" s="750"/>
      <c r="I3" s="750"/>
      <c r="J3" s="750"/>
      <c r="K3" s="750"/>
      <c r="L3" s="750"/>
      <c r="M3" s="750"/>
      <c r="N3" s="750"/>
      <c r="O3" s="750"/>
      <c r="P3" s="750"/>
      <c r="Q3" s="750"/>
      <c r="R3" s="750"/>
      <c r="S3" s="750"/>
      <c r="T3" s="750"/>
      <c r="U3" s="750"/>
      <c r="V3" s="750"/>
      <c r="W3" s="750"/>
      <c r="X3" s="750"/>
      <c r="Y3" s="750"/>
      <c r="Z3" s="62"/>
      <c r="AF3" s="275" t="s">
        <v>130</v>
      </c>
    </row>
    <row r="4" spans="1:45" ht="15.75">
      <c r="A4" s="750" t="s">
        <v>103</v>
      </c>
      <c r="B4" s="750"/>
      <c r="C4" s="750"/>
      <c r="D4" s="750"/>
      <c r="E4" s="750"/>
      <c r="F4" s="750"/>
      <c r="G4" s="750"/>
      <c r="H4" s="750"/>
      <c r="I4" s="750"/>
      <c r="J4" s="750"/>
      <c r="K4" s="750"/>
      <c r="L4" s="750"/>
      <c r="M4" s="750"/>
      <c r="N4" s="750"/>
      <c r="O4" s="750"/>
      <c r="P4" s="750"/>
      <c r="Q4" s="750"/>
      <c r="R4" s="750"/>
      <c r="S4" s="750"/>
      <c r="T4" s="750"/>
      <c r="U4" s="750"/>
      <c r="V4" s="750"/>
      <c r="W4" s="750"/>
      <c r="X4" s="750"/>
      <c r="Y4" s="750"/>
      <c r="Z4" s="62"/>
      <c r="AS4" s="275" t="s">
        <v>68</v>
      </c>
    </row>
    <row r="5" spans="1:51" ht="15">
      <c r="A5" s="749" t="s">
        <v>100</v>
      </c>
      <c r="B5" s="749"/>
      <c r="C5" s="749"/>
      <c r="D5" s="749"/>
      <c r="E5" s="749"/>
      <c r="F5" s="749"/>
      <c r="G5" s="749"/>
      <c r="H5" s="749"/>
      <c r="I5" s="749"/>
      <c r="J5" s="749"/>
      <c r="K5" s="749"/>
      <c r="L5" s="749"/>
      <c r="M5" s="749"/>
      <c r="N5" s="749"/>
      <c r="O5" s="749"/>
      <c r="P5" s="749"/>
      <c r="Q5" s="749"/>
      <c r="R5" s="749"/>
      <c r="S5" s="749"/>
      <c r="T5" s="749"/>
      <c r="U5" s="749"/>
      <c r="V5" s="749"/>
      <c r="W5" s="749"/>
      <c r="X5" s="749"/>
      <c r="Y5" s="749"/>
      <c r="Z5" s="63"/>
      <c r="AE5" s="276" t="s">
        <v>120</v>
      </c>
      <c r="AF5" s="276" t="s">
        <v>28</v>
      </c>
      <c r="AG5" s="277"/>
      <c r="AH5" s="277"/>
      <c r="AI5" s="277"/>
      <c r="AJ5" s="277"/>
      <c r="AK5" s="277"/>
      <c r="AL5" s="277"/>
      <c r="AM5" s="277"/>
      <c r="AN5" s="189"/>
      <c r="AO5" s="311"/>
      <c r="AP5" s="186"/>
      <c r="AQ5" s="186"/>
      <c r="AR5" s="186"/>
      <c r="AS5" s="186"/>
      <c r="AT5" s="186"/>
      <c r="AU5" s="186"/>
      <c r="AV5" s="186"/>
      <c r="AW5" s="186"/>
      <c r="AX5" s="186"/>
      <c r="AY5" s="186"/>
    </row>
    <row r="6" spans="1:51" ht="12.75">
      <c r="A6" s="748" t="s">
        <v>184</v>
      </c>
      <c r="B6" s="748"/>
      <c r="C6" s="748"/>
      <c r="D6" s="748"/>
      <c r="E6" s="748"/>
      <c r="F6" s="748"/>
      <c r="G6" s="748"/>
      <c r="H6" s="748"/>
      <c r="I6" s="748"/>
      <c r="J6" s="748"/>
      <c r="K6" s="748"/>
      <c r="L6" s="748"/>
      <c r="M6" s="748"/>
      <c r="N6" s="748"/>
      <c r="O6" s="748"/>
      <c r="P6" s="748"/>
      <c r="Q6" s="748"/>
      <c r="R6" s="748"/>
      <c r="S6" s="748"/>
      <c r="T6" s="748"/>
      <c r="U6" s="748"/>
      <c r="V6" s="748"/>
      <c r="W6" s="748"/>
      <c r="X6" s="748"/>
      <c r="Y6" s="748"/>
      <c r="Z6" s="415"/>
      <c r="AE6" s="276" t="s">
        <v>121</v>
      </c>
      <c r="AF6" s="276" t="s">
        <v>115</v>
      </c>
      <c r="AG6" s="278" t="s">
        <v>116</v>
      </c>
      <c r="AH6" s="278" t="s">
        <v>117</v>
      </c>
      <c r="AI6" s="278" t="s">
        <v>118</v>
      </c>
      <c r="AJ6" s="278" t="s">
        <v>119</v>
      </c>
      <c r="AK6" s="278" t="s">
        <v>34</v>
      </c>
      <c r="AL6" s="278" t="s">
        <v>35</v>
      </c>
      <c r="AM6" s="278" t="s">
        <v>36</v>
      </c>
      <c r="AN6" s="312" t="s">
        <v>122</v>
      </c>
      <c r="AO6" s="312"/>
      <c r="AP6" s="276" t="s">
        <v>120</v>
      </c>
      <c r="AQ6" s="276" t="s">
        <v>28</v>
      </c>
      <c r="AR6" s="277"/>
      <c r="AS6" s="277"/>
      <c r="AT6" s="277"/>
      <c r="AU6" s="277"/>
      <c r="AV6" s="277"/>
      <c r="AW6" s="277"/>
      <c r="AX6" s="277"/>
      <c r="AY6" s="279"/>
    </row>
    <row r="7" spans="1:51" ht="15">
      <c r="A7" s="67"/>
      <c r="B7" s="68"/>
      <c r="C7" s="68"/>
      <c r="D7" s="68"/>
      <c r="E7" s="68"/>
      <c r="F7" s="68"/>
      <c r="G7" s="747" t="s">
        <v>130</v>
      </c>
      <c r="H7" s="747"/>
      <c r="I7" s="747"/>
      <c r="J7" s="747"/>
      <c r="K7" s="747"/>
      <c r="L7" s="747"/>
      <c r="M7" s="747"/>
      <c r="N7" s="747"/>
      <c r="O7" s="747"/>
      <c r="P7" s="68"/>
      <c r="Q7" s="68"/>
      <c r="R7" s="68"/>
      <c r="S7" s="68"/>
      <c r="T7" s="68"/>
      <c r="U7" s="68"/>
      <c r="V7" s="68"/>
      <c r="W7" s="40"/>
      <c r="X7" s="40"/>
      <c r="Y7" s="40"/>
      <c r="Z7" s="40"/>
      <c r="AE7" s="276" t="s">
        <v>16</v>
      </c>
      <c r="AF7" s="280">
        <v>1450039</v>
      </c>
      <c r="AG7" s="281">
        <v>2507363</v>
      </c>
      <c r="AH7" s="281">
        <v>950000</v>
      </c>
      <c r="AI7" s="281">
        <v>2302301</v>
      </c>
      <c r="AJ7" s="281">
        <v>5602359</v>
      </c>
      <c r="AK7" s="281">
        <v>2933970</v>
      </c>
      <c r="AL7" s="281">
        <v>2634517</v>
      </c>
      <c r="AM7" s="281">
        <v>1384057</v>
      </c>
      <c r="AN7" s="312">
        <v>19764606</v>
      </c>
      <c r="AO7" s="312"/>
      <c r="AP7" s="276" t="s">
        <v>121</v>
      </c>
      <c r="AQ7" s="276" t="s">
        <v>115</v>
      </c>
      <c r="AR7" s="278" t="s">
        <v>116</v>
      </c>
      <c r="AS7" s="278" t="s">
        <v>117</v>
      </c>
      <c r="AT7" s="278" t="s">
        <v>118</v>
      </c>
      <c r="AU7" s="278" t="s">
        <v>119</v>
      </c>
      <c r="AV7" s="278" t="s">
        <v>34</v>
      </c>
      <c r="AW7" s="278" t="s">
        <v>35</v>
      </c>
      <c r="AX7" s="278" t="s">
        <v>36</v>
      </c>
      <c r="AY7" s="282" t="s">
        <v>122</v>
      </c>
    </row>
    <row r="8" spans="1:51" ht="15">
      <c r="A8" s="69"/>
      <c r="B8" s="746" t="s">
        <v>70</v>
      </c>
      <c r="C8" s="746"/>
      <c r="D8" s="746"/>
      <c r="E8" s="746"/>
      <c r="F8" s="746"/>
      <c r="G8" s="746"/>
      <c r="H8" s="746"/>
      <c r="I8" s="746"/>
      <c r="J8" s="70"/>
      <c r="K8" s="70"/>
      <c r="L8" s="71"/>
      <c r="M8" s="71"/>
      <c r="N8" s="746" t="s">
        <v>257</v>
      </c>
      <c r="O8" s="746"/>
      <c r="P8" s="746"/>
      <c r="Q8" s="746"/>
      <c r="R8" s="746"/>
      <c r="S8" s="746"/>
      <c r="T8" s="746"/>
      <c r="U8" s="746"/>
      <c r="V8" s="70"/>
      <c r="W8" s="55"/>
      <c r="X8" s="55"/>
      <c r="Y8" s="55"/>
      <c r="Z8" s="55"/>
      <c r="AE8" s="283" t="s">
        <v>17</v>
      </c>
      <c r="AF8" s="284">
        <v>2725269</v>
      </c>
      <c r="AG8" s="285">
        <v>2620418</v>
      </c>
      <c r="AH8" s="285">
        <v>1750353</v>
      </c>
      <c r="AI8" s="285">
        <v>6903249</v>
      </c>
      <c r="AJ8" s="285">
        <v>22714550</v>
      </c>
      <c r="AK8" s="285">
        <v>16939492</v>
      </c>
      <c r="AL8" s="285">
        <v>12114399</v>
      </c>
      <c r="AM8" s="285">
        <v>5503723</v>
      </c>
      <c r="AN8" s="312">
        <v>71271453</v>
      </c>
      <c r="AO8" s="312"/>
      <c r="AP8" s="276" t="s">
        <v>16</v>
      </c>
      <c r="AQ8" s="280">
        <v>685000</v>
      </c>
      <c r="AR8" s="281">
        <v>0</v>
      </c>
      <c r="AS8" s="281">
        <v>280381</v>
      </c>
      <c r="AT8" s="281">
        <v>1000000</v>
      </c>
      <c r="AU8" s="281">
        <v>650000</v>
      </c>
      <c r="AV8" s="281">
        <v>450000</v>
      </c>
      <c r="AW8" s="281">
        <v>625000</v>
      </c>
      <c r="AX8" s="281">
        <v>109000</v>
      </c>
      <c r="AY8" s="286">
        <v>3799381</v>
      </c>
    </row>
    <row r="9" spans="1:51" ht="12.75" customHeight="1">
      <c r="A9" s="752" t="s">
        <v>11</v>
      </c>
      <c r="B9" s="743" t="s">
        <v>28</v>
      </c>
      <c r="C9" s="744"/>
      <c r="D9" s="744"/>
      <c r="E9" s="744"/>
      <c r="F9" s="744"/>
      <c r="G9" s="744"/>
      <c r="H9" s="744"/>
      <c r="I9" s="745"/>
      <c r="J9" s="754" t="s">
        <v>84</v>
      </c>
      <c r="K9" s="70"/>
      <c r="L9" s="71"/>
      <c r="M9" s="752" t="s">
        <v>11</v>
      </c>
      <c r="N9" s="743" t="s">
        <v>28</v>
      </c>
      <c r="O9" s="744"/>
      <c r="P9" s="744"/>
      <c r="Q9" s="744"/>
      <c r="R9" s="744"/>
      <c r="S9" s="744"/>
      <c r="T9" s="744"/>
      <c r="U9" s="745"/>
      <c r="V9" s="754" t="s">
        <v>84</v>
      </c>
      <c r="W9" s="55"/>
      <c r="X9" s="55"/>
      <c r="Y9" s="55"/>
      <c r="Z9" s="55"/>
      <c r="AE9" s="283"/>
      <c r="AF9" s="284"/>
      <c r="AG9" s="285"/>
      <c r="AH9" s="285"/>
      <c r="AI9" s="285"/>
      <c r="AJ9" s="285"/>
      <c r="AK9" s="285"/>
      <c r="AL9" s="285"/>
      <c r="AM9" s="285"/>
      <c r="AN9" s="313"/>
      <c r="AO9" s="313"/>
      <c r="AP9" s="283"/>
      <c r="AQ9" s="284"/>
      <c r="AR9" s="298"/>
      <c r="AS9" s="298"/>
      <c r="AT9" s="298"/>
      <c r="AU9" s="298"/>
      <c r="AV9" s="298"/>
      <c r="AW9" s="298"/>
      <c r="AX9" s="298"/>
      <c r="AY9" s="287"/>
    </row>
    <row r="10" spans="1:51" ht="12.75">
      <c r="A10" s="753"/>
      <c r="B10" s="72" t="s">
        <v>115</v>
      </c>
      <c r="C10" s="73" t="s">
        <v>116</v>
      </c>
      <c r="D10" s="73" t="s">
        <v>117</v>
      </c>
      <c r="E10" s="73" t="s">
        <v>118</v>
      </c>
      <c r="F10" s="73" t="s">
        <v>119</v>
      </c>
      <c r="G10" s="73" t="s">
        <v>34</v>
      </c>
      <c r="H10" s="73" t="s">
        <v>35</v>
      </c>
      <c r="I10" s="665" t="s">
        <v>36</v>
      </c>
      <c r="J10" s="755"/>
      <c r="K10" s="73" t="s">
        <v>129</v>
      </c>
      <c r="L10" s="74"/>
      <c r="M10" s="753"/>
      <c r="N10" s="72" t="s">
        <v>115</v>
      </c>
      <c r="O10" s="73" t="s">
        <v>116</v>
      </c>
      <c r="P10" s="73" t="s">
        <v>117</v>
      </c>
      <c r="Q10" s="73" t="s">
        <v>118</v>
      </c>
      <c r="R10" s="73" t="s">
        <v>119</v>
      </c>
      <c r="S10" s="73" t="s">
        <v>34</v>
      </c>
      <c r="T10" s="73" t="s">
        <v>35</v>
      </c>
      <c r="U10" s="665" t="s">
        <v>36</v>
      </c>
      <c r="V10" s="755"/>
      <c r="W10" s="73" t="s">
        <v>128</v>
      </c>
      <c r="X10" s="56"/>
      <c r="Y10" s="53"/>
      <c r="Z10" s="53"/>
      <c r="AE10" s="283" t="s">
        <v>18</v>
      </c>
      <c r="AF10" s="284">
        <v>5492000</v>
      </c>
      <c r="AG10" s="285">
        <v>14868722</v>
      </c>
      <c r="AH10" s="285">
        <v>13346860</v>
      </c>
      <c r="AI10" s="285">
        <v>20935000</v>
      </c>
      <c r="AJ10" s="285">
        <v>47135226</v>
      </c>
      <c r="AK10" s="285">
        <v>31843536</v>
      </c>
      <c r="AL10" s="285">
        <v>31054807</v>
      </c>
      <c r="AM10" s="285">
        <v>12781644</v>
      </c>
      <c r="AN10" s="313">
        <v>177457795</v>
      </c>
      <c r="AO10" s="313"/>
      <c r="AP10" s="283" t="s">
        <v>17</v>
      </c>
      <c r="AQ10" s="284">
        <v>275000</v>
      </c>
      <c r="AR10" s="285">
        <v>300000</v>
      </c>
      <c r="AS10" s="285">
        <v>700000</v>
      </c>
      <c r="AT10" s="285">
        <v>1134515</v>
      </c>
      <c r="AU10" s="285">
        <v>1716465</v>
      </c>
      <c r="AV10" s="285">
        <v>1507320</v>
      </c>
      <c r="AW10" s="285">
        <v>2300000</v>
      </c>
      <c r="AX10" s="285">
        <v>976000</v>
      </c>
      <c r="AY10" s="287">
        <v>8909300</v>
      </c>
    </row>
    <row r="11" spans="1:51" ht="12.75">
      <c r="A11" s="64" t="s">
        <v>16</v>
      </c>
      <c r="B11" s="288">
        <v>0.6924274630160362</v>
      </c>
      <c r="C11" s="289">
        <v>1.1989117954216753</v>
      </c>
      <c r="D11" s="289">
        <v>0.5199789801794475</v>
      </c>
      <c r="E11" s="289">
        <v>0.7387117380493118</v>
      </c>
      <c r="F11" s="289">
        <v>1.0854396468805878</v>
      </c>
      <c r="G11" s="289">
        <v>0.7171910302617744</v>
      </c>
      <c r="H11" s="289">
        <v>0.6730206211260151</v>
      </c>
      <c r="I11" s="289">
        <v>0.7796765813516215</v>
      </c>
      <c r="J11" s="296">
        <v>0.8210937504126419</v>
      </c>
      <c r="K11" s="291">
        <v>19.764606</v>
      </c>
      <c r="L11" s="289"/>
      <c r="M11" s="66" t="s">
        <v>16</v>
      </c>
      <c r="N11" s="292">
        <v>0.8086378697243959</v>
      </c>
      <c r="O11" s="292">
        <v>0.6807696197804419</v>
      </c>
      <c r="P11" s="292">
        <v>0.4230109496384313</v>
      </c>
      <c r="Q11" s="292">
        <v>0.9012307432337286</v>
      </c>
      <c r="R11" s="292">
        <v>0.8948834145887463</v>
      </c>
      <c r="S11" s="292">
        <v>0.7682769752066994</v>
      </c>
      <c r="T11" s="292">
        <v>0.7537993124039319</v>
      </c>
      <c r="U11" s="292">
        <v>0.5102550327547286</v>
      </c>
      <c r="V11" s="296">
        <v>0.7609125663098224</v>
      </c>
      <c r="W11" s="293">
        <v>118</v>
      </c>
      <c r="X11" s="294"/>
      <c r="Y11" s="294"/>
      <c r="Z11" s="294"/>
      <c r="AE11" s="283" t="s">
        <v>19</v>
      </c>
      <c r="AF11" s="284">
        <v>10922000</v>
      </c>
      <c r="AG11" s="285">
        <v>11346322</v>
      </c>
      <c r="AH11" s="285">
        <v>15620003</v>
      </c>
      <c r="AI11" s="285">
        <v>66020947</v>
      </c>
      <c r="AJ11" s="285">
        <v>62762616</v>
      </c>
      <c r="AK11" s="285">
        <v>42720699</v>
      </c>
      <c r="AL11" s="285">
        <v>36518312</v>
      </c>
      <c r="AM11" s="285">
        <v>15379493</v>
      </c>
      <c r="AN11" s="313">
        <v>261290392</v>
      </c>
      <c r="AO11" s="313"/>
      <c r="AP11" s="283" t="s">
        <v>18</v>
      </c>
      <c r="AQ11" s="284">
        <v>150000</v>
      </c>
      <c r="AR11" s="285">
        <v>1150000</v>
      </c>
      <c r="AS11" s="285">
        <v>1710000</v>
      </c>
      <c r="AT11" s="285">
        <v>2210000</v>
      </c>
      <c r="AU11" s="285">
        <v>3735000</v>
      </c>
      <c r="AV11" s="285">
        <v>4934754</v>
      </c>
      <c r="AW11" s="285">
        <v>5171565</v>
      </c>
      <c r="AX11" s="285">
        <v>2476216</v>
      </c>
      <c r="AY11" s="287">
        <v>21537535</v>
      </c>
    </row>
    <row r="12" spans="1:51" ht="12.75">
      <c r="A12" s="64" t="s">
        <v>17</v>
      </c>
      <c r="B12" s="295">
        <v>0.5239050692112421</v>
      </c>
      <c r="C12" s="289">
        <v>0.42981106002493413</v>
      </c>
      <c r="D12" s="289">
        <v>0.2930117999185445</v>
      </c>
      <c r="E12" s="289">
        <v>0.6512032124960229</v>
      </c>
      <c r="F12" s="289">
        <v>1.1013669578653846</v>
      </c>
      <c r="G12" s="289">
        <v>1.0790225971944922</v>
      </c>
      <c r="H12" s="289">
        <v>0.7808644526813664</v>
      </c>
      <c r="I12" s="289">
        <v>0.82789438180392</v>
      </c>
      <c r="J12" s="296">
        <v>0.8253045622187425</v>
      </c>
      <c r="K12" s="291">
        <v>71.271453</v>
      </c>
      <c r="L12" s="289"/>
      <c r="M12" s="66" t="s">
        <v>17</v>
      </c>
      <c r="N12" s="292">
        <v>0.6413063059649065</v>
      </c>
      <c r="O12" s="292">
        <v>0.5727081651003099</v>
      </c>
      <c r="P12" s="292">
        <v>0.5955222225988774</v>
      </c>
      <c r="Q12" s="292">
        <v>0.7487151027861051</v>
      </c>
      <c r="R12" s="292">
        <v>1.1219263402880406</v>
      </c>
      <c r="S12" s="292">
        <v>1.0371756506093683</v>
      </c>
      <c r="T12" s="292">
        <v>0.8143840584320557</v>
      </c>
      <c r="U12" s="292">
        <v>0.8832590831921052</v>
      </c>
      <c r="V12" s="296">
        <v>0.9080979635903158</v>
      </c>
      <c r="W12" s="293">
        <v>450</v>
      </c>
      <c r="X12" s="294"/>
      <c r="Y12" s="294"/>
      <c r="Z12" s="294"/>
      <c r="AE12" s="283" t="s">
        <v>104</v>
      </c>
      <c r="AF12" s="284">
        <v>3975000</v>
      </c>
      <c r="AG12" s="285">
        <v>6860219</v>
      </c>
      <c r="AH12" s="285">
        <v>15182759</v>
      </c>
      <c r="AI12" s="285">
        <v>39274227</v>
      </c>
      <c r="AJ12" s="285">
        <v>71363141</v>
      </c>
      <c r="AK12" s="285">
        <v>45011708</v>
      </c>
      <c r="AL12" s="285">
        <v>31478490</v>
      </c>
      <c r="AM12" s="285">
        <v>10628962</v>
      </c>
      <c r="AN12" s="313">
        <v>223774506</v>
      </c>
      <c r="AO12" s="313"/>
      <c r="AP12" s="283" t="s">
        <v>19</v>
      </c>
      <c r="AQ12" s="284">
        <v>300000</v>
      </c>
      <c r="AR12" s="285">
        <v>650000</v>
      </c>
      <c r="AS12" s="285">
        <v>1100000</v>
      </c>
      <c r="AT12" s="285">
        <v>2200000</v>
      </c>
      <c r="AU12" s="285">
        <v>11703872</v>
      </c>
      <c r="AV12" s="285">
        <v>7545383</v>
      </c>
      <c r="AW12" s="285">
        <v>6782974</v>
      </c>
      <c r="AX12" s="285">
        <v>2392445</v>
      </c>
      <c r="AY12" s="287">
        <v>32674674</v>
      </c>
    </row>
    <row r="13" spans="1:51" ht="12.75">
      <c r="A13" s="64" t="s">
        <v>18</v>
      </c>
      <c r="B13" s="295">
        <v>0.564486591141422</v>
      </c>
      <c r="C13" s="289">
        <v>1.191967644991096</v>
      </c>
      <c r="D13" s="289">
        <v>1.0219555053997633</v>
      </c>
      <c r="E13" s="289">
        <v>0.8555680164273823</v>
      </c>
      <c r="F13" s="289">
        <v>0.9384966382107863</v>
      </c>
      <c r="G13" s="289">
        <v>0.8648813110862026</v>
      </c>
      <c r="H13" s="289">
        <v>0.9770727344152548</v>
      </c>
      <c r="I13" s="289">
        <v>1.0529150762861645</v>
      </c>
      <c r="J13" s="296">
        <v>0.9305701899791243</v>
      </c>
      <c r="K13" s="291">
        <v>177.457795</v>
      </c>
      <c r="L13" s="289"/>
      <c r="M13" s="66" t="s">
        <v>18</v>
      </c>
      <c r="N13" s="292">
        <v>0.5857039048098396</v>
      </c>
      <c r="O13" s="292">
        <v>0.8969162572436835</v>
      </c>
      <c r="P13" s="292">
        <v>0.732259892635008</v>
      </c>
      <c r="Q13" s="292">
        <v>1.0056562029365161</v>
      </c>
      <c r="R13" s="292">
        <v>1.0338030067517094</v>
      </c>
      <c r="S13" s="292">
        <v>0.8956417460977106</v>
      </c>
      <c r="T13" s="292">
        <v>0.927506751004931</v>
      </c>
      <c r="U13" s="292">
        <v>0.935456410795683</v>
      </c>
      <c r="V13" s="296">
        <v>0.9343600072656494</v>
      </c>
      <c r="W13" s="293">
        <v>886</v>
      </c>
      <c r="X13" s="294"/>
      <c r="Y13" s="294"/>
      <c r="Z13" s="294"/>
      <c r="AE13" s="283" t="s">
        <v>105</v>
      </c>
      <c r="AF13" s="284">
        <v>35839738</v>
      </c>
      <c r="AG13" s="285">
        <v>8144608</v>
      </c>
      <c r="AH13" s="285">
        <v>12277000</v>
      </c>
      <c r="AI13" s="285">
        <v>33233214</v>
      </c>
      <c r="AJ13" s="285">
        <v>82015101</v>
      </c>
      <c r="AK13" s="285">
        <v>36941396</v>
      </c>
      <c r="AL13" s="285">
        <v>25438896</v>
      </c>
      <c r="AM13" s="285">
        <v>7755208</v>
      </c>
      <c r="AN13" s="313">
        <v>241645161</v>
      </c>
      <c r="AO13" s="313"/>
      <c r="AP13" s="283" t="s">
        <v>104</v>
      </c>
      <c r="AQ13" s="284">
        <v>1100000</v>
      </c>
      <c r="AR13" s="285">
        <v>1400000</v>
      </c>
      <c r="AS13" s="285">
        <v>1150000</v>
      </c>
      <c r="AT13" s="285">
        <v>3889010</v>
      </c>
      <c r="AU13" s="285">
        <v>12492350</v>
      </c>
      <c r="AV13" s="285">
        <v>8269410</v>
      </c>
      <c r="AW13" s="285">
        <v>6981384</v>
      </c>
      <c r="AX13" s="285">
        <v>2996677</v>
      </c>
      <c r="AY13" s="287">
        <v>38278831</v>
      </c>
    </row>
    <row r="14" spans="1:51" ht="12.75">
      <c r="A14" s="64" t="s">
        <v>19</v>
      </c>
      <c r="B14" s="295">
        <v>0.8757363510802065</v>
      </c>
      <c r="C14" s="289">
        <v>0.7530081460835052</v>
      </c>
      <c r="D14" s="289">
        <v>1.0084257558913832</v>
      </c>
      <c r="E14" s="289">
        <v>1.9884174960187606</v>
      </c>
      <c r="F14" s="289">
        <v>0.7964555230683682</v>
      </c>
      <c r="G14" s="289">
        <v>0.8130444977748166</v>
      </c>
      <c r="H14" s="289">
        <v>0.895915923016219</v>
      </c>
      <c r="I14" s="289">
        <v>1.1582622153622624</v>
      </c>
      <c r="J14" s="296">
        <v>0.9987496666658504</v>
      </c>
      <c r="K14" s="291">
        <v>261.290392</v>
      </c>
      <c r="L14" s="289"/>
      <c r="M14" s="66" t="s">
        <v>19</v>
      </c>
      <c r="N14" s="292">
        <v>0.9277524014391041</v>
      </c>
      <c r="O14" s="292">
        <v>0.9511682724306126</v>
      </c>
      <c r="P14" s="292">
        <v>0.9157406430193433</v>
      </c>
      <c r="Q14" s="292">
        <v>1.2208187328345483</v>
      </c>
      <c r="R14" s="292">
        <v>0.8878880664755556</v>
      </c>
      <c r="S14" s="292">
        <v>0.9163998725519316</v>
      </c>
      <c r="T14" s="292">
        <v>0.9032739666740983</v>
      </c>
      <c r="U14" s="292">
        <v>1.0136351695038346</v>
      </c>
      <c r="V14" s="296">
        <v>0.9414197537497728</v>
      </c>
      <c r="W14" s="293">
        <v>1159</v>
      </c>
      <c r="X14" s="294"/>
      <c r="Y14" s="294"/>
      <c r="Z14" s="294"/>
      <c r="AE14" s="283" t="s">
        <v>106</v>
      </c>
      <c r="AF14" s="284">
        <v>4280000</v>
      </c>
      <c r="AG14" s="285">
        <v>8857821</v>
      </c>
      <c r="AH14" s="285">
        <v>15321459</v>
      </c>
      <c r="AI14" s="285">
        <v>28176983</v>
      </c>
      <c r="AJ14" s="285">
        <v>52649464</v>
      </c>
      <c r="AK14" s="285">
        <v>29439361</v>
      </c>
      <c r="AL14" s="285">
        <v>20790735</v>
      </c>
      <c r="AM14" s="285">
        <v>8569039</v>
      </c>
      <c r="AN14" s="313">
        <v>168084862</v>
      </c>
      <c r="AO14" s="313"/>
      <c r="AP14" s="283" t="s">
        <v>105</v>
      </c>
      <c r="AQ14" s="284">
        <v>1225000</v>
      </c>
      <c r="AR14" s="285">
        <v>1500000</v>
      </c>
      <c r="AS14" s="285">
        <v>2569027</v>
      </c>
      <c r="AT14" s="285">
        <v>5084000</v>
      </c>
      <c r="AU14" s="285">
        <v>12037000</v>
      </c>
      <c r="AV14" s="285">
        <v>11138806</v>
      </c>
      <c r="AW14" s="285">
        <v>9147108</v>
      </c>
      <c r="AX14" s="285">
        <v>3469943</v>
      </c>
      <c r="AY14" s="287">
        <v>46170884</v>
      </c>
    </row>
    <row r="15" spans="1:51" ht="12.75">
      <c r="A15" s="64" t="s">
        <v>104</v>
      </c>
      <c r="B15" s="295">
        <v>0.3585344510603656</v>
      </c>
      <c r="C15" s="289">
        <v>0.5201310325267562</v>
      </c>
      <c r="D15" s="289">
        <v>0.963114109509557</v>
      </c>
      <c r="E15" s="289">
        <v>1.0744707444081363</v>
      </c>
      <c r="F15" s="289">
        <v>0.8410816799538815</v>
      </c>
      <c r="G15" s="289">
        <v>0.8676818091116536</v>
      </c>
      <c r="H15" s="289">
        <v>0.8927703690405239</v>
      </c>
      <c r="I15" s="289">
        <v>1.0774794168204151</v>
      </c>
      <c r="J15" s="296">
        <v>0.8658687942195233</v>
      </c>
      <c r="K15" s="291">
        <v>223.774506</v>
      </c>
      <c r="L15" s="289"/>
      <c r="M15" s="66" t="s">
        <v>104</v>
      </c>
      <c r="N15" s="292">
        <v>0.6254188660563457</v>
      </c>
      <c r="O15" s="292">
        <v>0.6766308364614497</v>
      </c>
      <c r="P15" s="292">
        <v>1.231163708248673</v>
      </c>
      <c r="Q15" s="292">
        <v>1.2325567861534255</v>
      </c>
      <c r="R15" s="292">
        <v>0.8329641545718535</v>
      </c>
      <c r="S15" s="292">
        <v>0.8855445199733549</v>
      </c>
      <c r="T15" s="292">
        <v>0.9806563958656417</v>
      </c>
      <c r="U15" s="292">
        <v>1.0238078351271733</v>
      </c>
      <c r="V15" s="296">
        <v>0.9320625562641685</v>
      </c>
      <c r="W15" s="293">
        <v>1126</v>
      </c>
      <c r="X15" s="294"/>
      <c r="Y15" s="294"/>
      <c r="Z15" s="294"/>
      <c r="AE15" s="283" t="s">
        <v>107</v>
      </c>
      <c r="AF15" s="284">
        <v>3124738</v>
      </c>
      <c r="AG15" s="285">
        <v>7004197</v>
      </c>
      <c r="AH15" s="285">
        <v>13471688</v>
      </c>
      <c r="AI15" s="285">
        <v>32782856</v>
      </c>
      <c r="AJ15" s="285">
        <v>36517869</v>
      </c>
      <c r="AK15" s="285">
        <v>21455714</v>
      </c>
      <c r="AL15" s="285">
        <v>27742224</v>
      </c>
      <c r="AM15" s="285">
        <v>16349144</v>
      </c>
      <c r="AN15" s="313">
        <v>158448430</v>
      </c>
      <c r="AO15" s="313"/>
      <c r="AP15" s="283" t="s">
        <v>106</v>
      </c>
      <c r="AQ15" s="284">
        <v>750000</v>
      </c>
      <c r="AR15" s="285">
        <v>903628</v>
      </c>
      <c r="AS15" s="285">
        <v>4379000</v>
      </c>
      <c r="AT15" s="285">
        <v>4136835</v>
      </c>
      <c r="AU15" s="285">
        <v>9326523</v>
      </c>
      <c r="AV15" s="285">
        <v>8273040</v>
      </c>
      <c r="AW15" s="285">
        <v>8423901</v>
      </c>
      <c r="AX15" s="285">
        <v>2546237</v>
      </c>
      <c r="AY15" s="287">
        <v>38739164</v>
      </c>
    </row>
    <row r="16" spans="1:51" ht="12.75">
      <c r="A16" s="64" t="s">
        <v>105</v>
      </c>
      <c r="B16" s="295">
        <v>4.1392350150579</v>
      </c>
      <c r="C16" s="289">
        <v>0.6528773570746464</v>
      </c>
      <c r="D16" s="289">
        <v>0.765147497197234</v>
      </c>
      <c r="E16" s="289">
        <v>0.9525187768302845</v>
      </c>
      <c r="F16" s="289">
        <v>1.047350544166712</v>
      </c>
      <c r="G16" s="289">
        <v>0.9049176391285062</v>
      </c>
      <c r="H16" s="289">
        <v>0.9529030441975228</v>
      </c>
      <c r="I16" s="289">
        <v>0.8301268003623854</v>
      </c>
      <c r="J16" s="296">
        <v>1.0634052450611267</v>
      </c>
      <c r="K16" s="291">
        <v>241.645161</v>
      </c>
      <c r="L16" s="289"/>
      <c r="M16" s="66" t="s">
        <v>105</v>
      </c>
      <c r="N16" s="292">
        <v>0.862188211188129</v>
      </c>
      <c r="O16" s="292">
        <v>0.7380495024562288</v>
      </c>
      <c r="P16" s="292">
        <v>1.0873705893077397</v>
      </c>
      <c r="Q16" s="292">
        <v>1.0317658760778938</v>
      </c>
      <c r="R16" s="292">
        <v>0.9469479303888667</v>
      </c>
      <c r="S16" s="292">
        <v>0.8934745420209517</v>
      </c>
      <c r="T16" s="292">
        <v>1.046689321675541</v>
      </c>
      <c r="U16" s="292">
        <v>0.7025515971456732</v>
      </c>
      <c r="V16" s="296">
        <v>0.9456819182245854</v>
      </c>
      <c r="W16" s="293">
        <v>1007</v>
      </c>
      <c r="X16" s="294"/>
      <c r="Y16" s="294"/>
      <c r="Z16" s="294"/>
      <c r="AE16" s="283" t="s">
        <v>108</v>
      </c>
      <c r="AF16" s="284">
        <v>3729300</v>
      </c>
      <c r="AG16" s="285">
        <v>7658447</v>
      </c>
      <c r="AH16" s="285">
        <v>17740689</v>
      </c>
      <c r="AI16" s="285">
        <v>15870587</v>
      </c>
      <c r="AJ16" s="285">
        <v>41129433</v>
      </c>
      <c r="AK16" s="285">
        <v>45101142</v>
      </c>
      <c r="AL16" s="285">
        <v>43405236</v>
      </c>
      <c r="AM16" s="285">
        <v>18485302</v>
      </c>
      <c r="AN16" s="313">
        <v>193120136</v>
      </c>
      <c r="AO16" s="313"/>
      <c r="AP16" s="283" t="s">
        <v>107</v>
      </c>
      <c r="AQ16" s="284">
        <v>150000</v>
      </c>
      <c r="AR16" s="285">
        <v>635000</v>
      </c>
      <c r="AS16" s="285">
        <v>925000</v>
      </c>
      <c r="AT16" s="285">
        <v>3564870</v>
      </c>
      <c r="AU16" s="285">
        <v>11590368</v>
      </c>
      <c r="AV16" s="285">
        <v>7090220</v>
      </c>
      <c r="AW16" s="285">
        <v>6957478</v>
      </c>
      <c r="AX16" s="285">
        <v>3656516</v>
      </c>
      <c r="AY16" s="287">
        <v>34569452</v>
      </c>
    </row>
    <row r="17" spans="1:51" ht="12.75">
      <c r="A17" s="64" t="s">
        <v>106</v>
      </c>
      <c r="B17" s="295">
        <v>0.6235416495048356</v>
      </c>
      <c r="C17" s="289">
        <v>0.819279662250433</v>
      </c>
      <c r="D17" s="289">
        <v>1.1175246345154024</v>
      </c>
      <c r="E17" s="289">
        <v>0.9337140781297343</v>
      </c>
      <c r="F17" s="289">
        <v>0.8109162194655777</v>
      </c>
      <c r="G17" s="289">
        <v>0.9800121638341552</v>
      </c>
      <c r="H17" s="289">
        <v>0.7995697418434055</v>
      </c>
      <c r="I17" s="289">
        <v>0.6390224407137007</v>
      </c>
      <c r="J17" s="296">
        <v>0.8578343880658592</v>
      </c>
      <c r="K17" s="291">
        <v>168.084862</v>
      </c>
      <c r="L17" s="289"/>
      <c r="M17" s="66" t="s">
        <v>106</v>
      </c>
      <c r="N17" s="292">
        <v>0.9949633226237788</v>
      </c>
      <c r="O17" s="292">
        <v>0.9697493250413647</v>
      </c>
      <c r="P17" s="292">
        <v>1.150729806496007</v>
      </c>
      <c r="Q17" s="292">
        <v>1.0402592230692969</v>
      </c>
      <c r="R17" s="292">
        <v>0.9625752752376299</v>
      </c>
      <c r="S17" s="292">
        <v>0.8648969890924426</v>
      </c>
      <c r="T17" s="292">
        <v>0.9205985224176245</v>
      </c>
      <c r="U17" s="292">
        <v>0.8438212689298429</v>
      </c>
      <c r="V17" s="296">
        <v>0.9533767832655078</v>
      </c>
      <c r="W17" s="293">
        <v>851</v>
      </c>
      <c r="X17" s="294"/>
      <c r="Y17" s="294"/>
      <c r="Z17" s="294"/>
      <c r="AE17" s="283" t="s">
        <v>109</v>
      </c>
      <c r="AF17" s="284">
        <v>5419694</v>
      </c>
      <c r="AG17" s="285">
        <v>2890213</v>
      </c>
      <c r="AH17" s="285">
        <v>4579982</v>
      </c>
      <c r="AI17" s="285">
        <v>20064000</v>
      </c>
      <c r="AJ17" s="285">
        <v>55797280</v>
      </c>
      <c r="AK17" s="285">
        <v>87979377</v>
      </c>
      <c r="AL17" s="285">
        <v>65068586</v>
      </c>
      <c r="AM17" s="285">
        <v>11251188</v>
      </c>
      <c r="AN17" s="313">
        <v>253050320</v>
      </c>
      <c r="AO17" s="313"/>
      <c r="AP17" s="283" t="s">
        <v>108</v>
      </c>
      <c r="AQ17" s="284">
        <v>200000</v>
      </c>
      <c r="AR17" s="285">
        <v>1550000</v>
      </c>
      <c r="AS17" s="285">
        <v>700000</v>
      </c>
      <c r="AT17" s="285">
        <v>1750000</v>
      </c>
      <c r="AU17" s="285">
        <v>10823794</v>
      </c>
      <c r="AV17" s="285">
        <v>15782479</v>
      </c>
      <c r="AW17" s="285">
        <v>17117745</v>
      </c>
      <c r="AX17" s="285">
        <v>6755653</v>
      </c>
      <c r="AY17" s="287">
        <v>54679671</v>
      </c>
    </row>
    <row r="18" spans="1:51" ht="12.75">
      <c r="A18" s="64" t="s">
        <v>107</v>
      </c>
      <c r="B18" s="295">
        <v>0.5567918003406997</v>
      </c>
      <c r="C18" s="289">
        <v>0.7858669910588161</v>
      </c>
      <c r="D18" s="289">
        <v>1.1706747034196112</v>
      </c>
      <c r="E18" s="289">
        <v>1.3495824656020463</v>
      </c>
      <c r="F18" s="289">
        <v>0.6891252150846845</v>
      </c>
      <c r="G18" s="289">
        <v>0.7269091972461058</v>
      </c>
      <c r="H18" s="289">
        <v>0.7868332699357068</v>
      </c>
      <c r="I18" s="289">
        <v>0.8745841460912065</v>
      </c>
      <c r="J18" s="296">
        <v>0.848301468081845</v>
      </c>
      <c r="K18" s="291">
        <v>158.44843</v>
      </c>
      <c r="L18" s="289"/>
      <c r="M18" s="66" t="s">
        <v>107</v>
      </c>
      <c r="N18" s="292">
        <v>0.9402801930499709</v>
      </c>
      <c r="O18" s="292">
        <v>1.0667383859666366</v>
      </c>
      <c r="P18" s="292">
        <v>1.259051212264394</v>
      </c>
      <c r="Q18" s="292">
        <v>0.9999088858535647</v>
      </c>
      <c r="R18" s="292">
        <v>0.8367401573328234</v>
      </c>
      <c r="S18" s="292">
        <v>0.8988307118822322</v>
      </c>
      <c r="T18" s="292">
        <v>0.8671511829048503</v>
      </c>
      <c r="U18" s="292">
        <v>0.9262083357027032</v>
      </c>
      <c r="V18" s="296">
        <v>0.9180524908617829</v>
      </c>
      <c r="W18" s="293">
        <v>728</v>
      </c>
      <c r="X18" s="294"/>
      <c r="Y18" s="294"/>
      <c r="Z18" s="294"/>
      <c r="AE18" s="283" t="s">
        <v>110</v>
      </c>
      <c r="AF18" s="284">
        <v>7950000</v>
      </c>
      <c r="AG18" s="285">
        <v>11358973</v>
      </c>
      <c r="AH18" s="285">
        <v>11839867</v>
      </c>
      <c r="AI18" s="285">
        <v>20824164</v>
      </c>
      <c r="AJ18" s="285">
        <v>78442169</v>
      </c>
      <c r="AK18" s="285">
        <v>125774188</v>
      </c>
      <c r="AL18" s="285">
        <v>63007583</v>
      </c>
      <c r="AM18" s="285">
        <v>6213453</v>
      </c>
      <c r="AN18" s="313">
        <v>325410397</v>
      </c>
      <c r="AO18" s="313"/>
      <c r="AP18" s="283" t="s">
        <v>109</v>
      </c>
      <c r="AQ18" s="284">
        <v>100000</v>
      </c>
      <c r="AR18" s="285">
        <v>2459320</v>
      </c>
      <c r="AS18" s="285">
        <v>845000</v>
      </c>
      <c r="AT18" s="285">
        <v>1715464</v>
      </c>
      <c r="AU18" s="285">
        <v>8046409</v>
      </c>
      <c r="AV18" s="285">
        <v>13432874</v>
      </c>
      <c r="AW18" s="285">
        <v>13119602</v>
      </c>
      <c r="AX18" s="285">
        <v>1564976</v>
      </c>
      <c r="AY18" s="287">
        <v>41283645</v>
      </c>
    </row>
    <row r="19" spans="1:51" ht="12.75">
      <c r="A19" s="64" t="s">
        <v>108</v>
      </c>
      <c r="B19" s="295">
        <v>0.891087171422931</v>
      </c>
      <c r="C19" s="289">
        <v>1.084578150359725</v>
      </c>
      <c r="D19" s="289">
        <v>1.9901721474899443</v>
      </c>
      <c r="E19" s="289">
        <v>0.8240237911758116</v>
      </c>
      <c r="F19" s="289">
        <v>0.8326358011187236</v>
      </c>
      <c r="G19" s="289">
        <v>0.9226859943173082</v>
      </c>
      <c r="H19" s="289">
        <v>0.8368703388085499</v>
      </c>
      <c r="I19" s="289">
        <v>0.919843048040313</v>
      </c>
      <c r="J19" s="296">
        <v>0.9211128822572097</v>
      </c>
      <c r="K19" s="291">
        <v>193.120136</v>
      </c>
      <c r="L19" s="289"/>
      <c r="M19" s="66" t="s">
        <v>108</v>
      </c>
      <c r="N19" s="292">
        <v>1.069270642269749</v>
      </c>
      <c r="O19" s="292">
        <v>1.3942198433733421</v>
      </c>
      <c r="P19" s="292">
        <v>1.1950175733973156</v>
      </c>
      <c r="Q19" s="292">
        <v>0.8934928194378657</v>
      </c>
      <c r="R19" s="292">
        <v>0.8114781785064895</v>
      </c>
      <c r="S19" s="292">
        <v>0.9728015554390363</v>
      </c>
      <c r="T19" s="292">
        <v>0.8654405387583712</v>
      </c>
      <c r="U19" s="292">
        <v>0.9632026550422259</v>
      </c>
      <c r="V19" s="296">
        <v>0.9211791127033283</v>
      </c>
      <c r="W19" s="293">
        <v>750</v>
      </c>
      <c r="X19" s="294"/>
      <c r="Y19" s="294"/>
      <c r="Z19" s="294"/>
      <c r="AE19" s="283" t="s">
        <v>111</v>
      </c>
      <c r="AF19" s="284">
        <v>21726543</v>
      </c>
      <c r="AG19" s="285">
        <v>9784879</v>
      </c>
      <c r="AH19" s="285">
        <v>13802836</v>
      </c>
      <c r="AI19" s="285">
        <v>40557657</v>
      </c>
      <c r="AJ19" s="285">
        <v>85250352</v>
      </c>
      <c r="AK19" s="285">
        <v>73130112</v>
      </c>
      <c r="AL19" s="285">
        <v>21478013</v>
      </c>
      <c r="AM19" s="285">
        <v>1382799</v>
      </c>
      <c r="AN19" s="313">
        <v>267113191</v>
      </c>
      <c r="AO19" s="313"/>
      <c r="AP19" s="283" t="s">
        <v>110</v>
      </c>
      <c r="AQ19" s="284">
        <v>0</v>
      </c>
      <c r="AR19" s="285">
        <v>569341</v>
      </c>
      <c r="AS19" s="285">
        <v>436881</v>
      </c>
      <c r="AT19" s="285">
        <v>2394640</v>
      </c>
      <c r="AU19" s="285">
        <v>15123274</v>
      </c>
      <c r="AV19" s="285">
        <v>13460287</v>
      </c>
      <c r="AW19" s="285">
        <v>8093968</v>
      </c>
      <c r="AX19" s="285">
        <v>1020797</v>
      </c>
      <c r="AY19" s="287">
        <v>41099188</v>
      </c>
    </row>
    <row r="20" spans="1:51" ht="12.75">
      <c r="A20" s="64" t="s">
        <v>109</v>
      </c>
      <c r="B20" s="295">
        <v>1.096862514354926</v>
      </c>
      <c r="C20" s="289">
        <v>0.3743781222697809</v>
      </c>
      <c r="D20" s="289">
        <v>0.5001321988442555</v>
      </c>
      <c r="E20" s="289">
        <v>1.035867011801098</v>
      </c>
      <c r="F20" s="289">
        <v>0.8018341189558611</v>
      </c>
      <c r="G20" s="289">
        <v>1.0318515458660904</v>
      </c>
      <c r="H20" s="289">
        <v>0.9856487878538774</v>
      </c>
      <c r="I20" s="289">
        <v>0.7954601557797102</v>
      </c>
      <c r="J20" s="296">
        <v>0.9161888756432874</v>
      </c>
      <c r="K20" s="291">
        <v>253.05032</v>
      </c>
      <c r="L20" s="289"/>
      <c r="M20" s="66" t="s">
        <v>109</v>
      </c>
      <c r="N20" s="292">
        <v>0.7821230142629904</v>
      </c>
      <c r="O20" s="292">
        <v>0.6240058452329357</v>
      </c>
      <c r="P20" s="292">
        <v>0.9366876525426387</v>
      </c>
      <c r="Q20" s="292">
        <v>1.0905450991350187</v>
      </c>
      <c r="R20" s="292">
        <v>0.9934957567480835</v>
      </c>
      <c r="S20" s="292">
        <v>1.0485582562285551</v>
      </c>
      <c r="T20" s="292">
        <v>1.0846955401187597</v>
      </c>
      <c r="U20" s="292">
        <v>0.9796737820507655</v>
      </c>
      <c r="V20" s="296">
        <v>1.0294266802724985</v>
      </c>
      <c r="W20" s="293">
        <v>923</v>
      </c>
      <c r="X20" s="294"/>
      <c r="Y20" s="294"/>
      <c r="Z20" s="294"/>
      <c r="AE20" s="283" t="s">
        <v>112</v>
      </c>
      <c r="AF20" s="284">
        <v>5482515</v>
      </c>
      <c r="AG20" s="285">
        <v>23056265</v>
      </c>
      <c r="AH20" s="285">
        <v>11358093</v>
      </c>
      <c r="AI20" s="285">
        <v>29870938</v>
      </c>
      <c r="AJ20" s="285">
        <v>64552108</v>
      </c>
      <c r="AK20" s="285">
        <v>33934589</v>
      </c>
      <c r="AL20" s="285">
        <v>4744452</v>
      </c>
      <c r="AM20" s="57">
        <v>999461</v>
      </c>
      <c r="AN20" s="313">
        <v>173998421</v>
      </c>
      <c r="AO20" s="313"/>
      <c r="AP20" s="283" t="s">
        <v>111</v>
      </c>
      <c r="AQ20" s="284">
        <v>0</v>
      </c>
      <c r="AR20" s="285">
        <v>232611</v>
      </c>
      <c r="AS20" s="285">
        <v>0</v>
      </c>
      <c r="AT20" s="285">
        <v>575000</v>
      </c>
      <c r="AU20" s="285">
        <v>7616411</v>
      </c>
      <c r="AV20" s="285">
        <v>5967490</v>
      </c>
      <c r="AW20" s="285">
        <v>5270101</v>
      </c>
      <c r="AX20" s="285">
        <v>200000</v>
      </c>
      <c r="AY20" s="287">
        <v>19861613</v>
      </c>
    </row>
    <row r="21" spans="1:51" ht="12.75">
      <c r="A21" s="64" t="s">
        <v>110</v>
      </c>
      <c r="B21" s="295">
        <v>0.8026459458304035</v>
      </c>
      <c r="C21" s="289">
        <v>1.0029835298103413</v>
      </c>
      <c r="D21" s="289">
        <v>0.9437801145485306</v>
      </c>
      <c r="E21" s="289">
        <v>0.8269734207792258</v>
      </c>
      <c r="F21" s="289">
        <v>0.9064016805966515</v>
      </c>
      <c r="G21" s="289">
        <v>1.3379211012034729</v>
      </c>
      <c r="H21" s="289">
        <v>1.2581370342787908</v>
      </c>
      <c r="I21" s="289">
        <v>1.1436640395245536</v>
      </c>
      <c r="J21" s="296">
        <v>1.1030157035014347</v>
      </c>
      <c r="K21" s="291">
        <v>325.410397</v>
      </c>
      <c r="L21" s="289"/>
      <c r="M21" s="66" t="s">
        <v>110</v>
      </c>
      <c r="N21" s="292">
        <v>0.7719696118451013</v>
      </c>
      <c r="O21" s="292">
        <v>0.9887979599536828</v>
      </c>
      <c r="P21" s="292">
        <v>0.9617476878984489</v>
      </c>
      <c r="Q21" s="292">
        <v>0.9285444955791272</v>
      </c>
      <c r="R21" s="292">
        <v>0.8964106905128127</v>
      </c>
      <c r="S21" s="292">
        <v>1.0972157035170065</v>
      </c>
      <c r="T21" s="292">
        <v>0.9998168517312508</v>
      </c>
      <c r="U21" s="292">
        <v>1.059638143828445</v>
      </c>
      <c r="V21" s="296">
        <v>1.0016463288007904</v>
      </c>
      <c r="W21" s="293">
        <v>875</v>
      </c>
      <c r="X21" s="294"/>
      <c r="Y21" s="294"/>
      <c r="Z21" s="294"/>
      <c r="AE21" s="283" t="s">
        <v>113</v>
      </c>
      <c r="AF21" s="284">
        <v>0</v>
      </c>
      <c r="AG21" s="285">
        <v>4300000</v>
      </c>
      <c r="AH21" s="285">
        <v>2536378</v>
      </c>
      <c r="AI21" s="285">
        <v>8362271</v>
      </c>
      <c r="AJ21" s="285">
        <v>16980283</v>
      </c>
      <c r="AK21" s="285">
        <v>3182241</v>
      </c>
      <c r="AL21" s="57">
        <v>100000</v>
      </c>
      <c r="AM21" s="57"/>
      <c r="AN21" s="313">
        <v>35461173</v>
      </c>
      <c r="AO21" s="313"/>
      <c r="AP21" s="283" t="s">
        <v>112</v>
      </c>
      <c r="AQ21" s="284">
        <v>0</v>
      </c>
      <c r="AR21" s="285">
        <v>1300000</v>
      </c>
      <c r="AS21" s="285">
        <v>295500</v>
      </c>
      <c r="AT21" s="285">
        <v>1088287</v>
      </c>
      <c r="AU21" s="285">
        <v>2744785</v>
      </c>
      <c r="AV21" s="285">
        <v>277140</v>
      </c>
      <c r="AW21" s="285">
        <v>6775000</v>
      </c>
      <c r="AX21" s="285"/>
      <c r="AY21" s="287">
        <v>12480712</v>
      </c>
    </row>
    <row r="22" spans="1:51" ht="12.75">
      <c r="A22" s="64" t="s">
        <v>111</v>
      </c>
      <c r="B22" s="295">
        <v>1.3194304408846829</v>
      </c>
      <c r="C22" s="289">
        <v>0.4887776122725053</v>
      </c>
      <c r="D22" s="289">
        <v>0.7028858209156063</v>
      </c>
      <c r="E22" s="289">
        <v>1.2901090187230573</v>
      </c>
      <c r="F22" s="289">
        <v>0.8635097745675936</v>
      </c>
      <c r="G22" s="289">
        <v>0.9205119504659062</v>
      </c>
      <c r="H22" s="289">
        <v>1.3145985219313385</v>
      </c>
      <c r="I22" s="289">
        <v>3.5585655093547324</v>
      </c>
      <c r="J22" s="296">
        <v>0.9456754682175408</v>
      </c>
      <c r="K22" s="291">
        <v>267.113191</v>
      </c>
      <c r="L22" s="289"/>
      <c r="M22" s="66" t="s">
        <v>111</v>
      </c>
      <c r="N22" s="292">
        <v>0.6539305220617994</v>
      </c>
      <c r="O22" s="292">
        <v>0.6048880136255347</v>
      </c>
      <c r="P22" s="292">
        <v>0.8073805345935644</v>
      </c>
      <c r="Q22" s="292">
        <v>0.9214306514775492</v>
      </c>
      <c r="R22" s="292">
        <v>0.943933470220543</v>
      </c>
      <c r="S22" s="292">
        <v>0.8489056644171371</v>
      </c>
      <c r="T22" s="292">
        <v>1.06810554249935</v>
      </c>
      <c r="U22" s="292">
        <v>2.638327511423958</v>
      </c>
      <c r="V22" s="296">
        <v>0.902331329820831</v>
      </c>
      <c r="W22" s="293">
        <v>607</v>
      </c>
      <c r="X22" s="294"/>
      <c r="Y22" s="294"/>
      <c r="Z22" s="294"/>
      <c r="AE22" s="283" t="s">
        <v>114</v>
      </c>
      <c r="AF22" s="284">
        <v>0</v>
      </c>
      <c r="AG22" s="57">
        <v>0</v>
      </c>
      <c r="AH22" s="285">
        <v>329754</v>
      </c>
      <c r="AI22" s="285">
        <v>840000</v>
      </c>
      <c r="AJ22" s="285">
        <v>0</v>
      </c>
      <c r="AK22" s="58">
        <v>325000</v>
      </c>
      <c r="AL22" s="57"/>
      <c r="AM22" s="57"/>
      <c r="AN22" s="313">
        <v>1494754</v>
      </c>
      <c r="AO22" s="313"/>
      <c r="AP22" s="283" t="s">
        <v>113</v>
      </c>
      <c r="AQ22" s="284">
        <v>0</v>
      </c>
      <c r="AR22" s="285">
        <v>400000</v>
      </c>
      <c r="AS22" s="285">
        <v>0</v>
      </c>
      <c r="AT22" s="285">
        <v>1621961</v>
      </c>
      <c r="AU22" s="285">
        <v>0</v>
      </c>
      <c r="AV22" s="285">
        <v>108638</v>
      </c>
      <c r="AW22" s="285"/>
      <c r="AX22" s="285"/>
      <c r="AY22" s="287">
        <v>2130599</v>
      </c>
    </row>
    <row r="23" spans="1:51" ht="12.75">
      <c r="A23" s="64" t="s">
        <v>112</v>
      </c>
      <c r="B23" s="295">
        <v>0.4261170933967257</v>
      </c>
      <c r="C23" s="289">
        <v>1.178548019548989</v>
      </c>
      <c r="D23" s="289">
        <v>0.5029092594250468</v>
      </c>
      <c r="E23" s="289">
        <v>0.7339219335400249</v>
      </c>
      <c r="F23" s="289">
        <v>0.7792871728681731</v>
      </c>
      <c r="G23" s="289">
        <v>1.0373112476321358</v>
      </c>
      <c r="H23" s="289">
        <v>1.2430982377839785</v>
      </c>
      <c r="I23" s="289">
        <v>2.499526461614389</v>
      </c>
      <c r="J23" s="296">
        <v>0.8074922045493689</v>
      </c>
      <c r="K23" s="291">
        <v>173.998421</v>
      </c>
      <c r="L23" s="289"/>
      <c r="M23" s="66" t="s">
        <v>112</v>
      </c>
      <c r="N23" s="292">
        <v>0.6851078115013942</v>
      </c>
      <c r="O23" s="292">
        <v>0.9999380038437619</v>
      </c>
      <c r="P23" s="292">
        <v>0.8700264070415064</v>
      </c>
      <c r="Q23" s="292">
        <v>0.8527360857249028</v>
      </c>
      <c r="R23" s="292">
        <v>0.8238020915667155</v>
      </c>
      <c r="S23" s="292">
        <v>0.9163021514896689</v>
      </c>
      <c r="T23" s="292">
        <v>1.1817285853054416</v>
      </c>
      <c r="U23" s="292">
        <v>2.499500099980004</v>
      </c>
      <c r="V23" s="296">
        <v>0.8659975392346847</v>
      </c>
      <c r="W23" s="293">
        <v>338</v>
      </c>
      <c r="X23" s="297"/>
      <c r="Y23" s="297"/>
      <c r="Z23" s="294"/>
      <c r="AD23" s="314"/>
      <c r="AE23" s="299" t="s">
        <v>122</v>
      </c>
      <c r="AF23" s="300">
        <v>112116836</v>
      </c>
      <c r="AG23" s="301">
        <v>121258447</v>
      </c>
      <c r="AH23" s="301">
        <v>150107721</v>
      </c>
      <c r="AI23" s="301">
        <v>366018394</v>
      </c>
      <c r="AJ23" s="301">
        <v>722911951</v>
      </c>
      <c r="AK23" s="301">
        <v>596712525</v>
      </c>
      <c r="AL23" s="301">
        <v>385576250</v>
      </c>
      <c r="AM23" s="301">
        <v>116683473</v>
      </c>
      <c r="AN23" s="313">
        <v>2571385597</v>
      </c>
      <c r="AO23" s="313"/>
      <c r="AP23" s="283" t="s">
        <v>122</v>
      </c>
      <c r="AQ23" s="284">
        <v>4935000</v>
      </c>
      <c r="AR23" s="285">
        <v>13049900</v>
      </c>
      <c r="AS23" s="285">
        <v>15090789</v>
      </c>
      <c r="AT23" s="285">
        <v>32364582</v>
      </c>
      <c r="AU23" s="285">
        <v>107606251</v>
      </c>
      <c r="AV23" s="285">
        <v>98237841</v>
      </c>
      <c r="AW23" s="285">
        <v>96765826</v>
      </c>
      <c r="AX23" s="285">
        <v>28164460</v>
      </c>
      <c r="AY23" s="287">
        <v>396214649</v>
      </c>
    </row>
    <row r="24" spans="1:51" ht="12.75">
      <c r="A24" s="64" t="s">
        <v>113</v>
      </c>
      <c r="B24" s="295">
        <v>0</v>
      </c>
      <c r="C24" s="289">
        <v>0.48396091550270576</v>
      </c>
      <c r="D24" s="289">
        <v>0.18172691072144614</v>
      </c>
      <c r="E24" s="289">
        <v>0.4108479671467913</v>
      </c>
      <c r="F24" s="289">
        <v>0.9103754528601141</v>
      </c>
      <c r="G24" s="289">
        <v>1.3377326226820498</v>
      </c>
      <c r="H24" s="289">
        <v>0.31484025665424215</v>
      </c>
      <c r="I24" s="289"/>
      <c r="J24" s="296">
        <v>0.5285218171938721</v>
      </c>
      <c r="K24" s="291">
        <v>35.461173</v>
      </c>
      <c r="L24" s="289"/>
      <c r="M24" s="66" t="s">
        <v>113</v>
      </c>
      <c r="N24" s="292">
        <v>0</v>
      </c>
      <c r="O24" s="292">
        <v>0.6393853716299596</v>
      </c>
      <c r="P24" s="292">
        <v>0.31473065350672885</v>
      </c>
      <c r="Q24" s="292">
        <v>0.40297106085713735</v>
      </c>
      <c r="R24" s="292">
        <v>0.9542030257777951</v>
      </c>
      <c r="S24" s="292">
        <v>1.3451691917122905</v>
      </c>
      <c r="T24" s="292">
        <v>0.7785554681843306</v>
      </c>
      <c r="U24" s="292"/>
      <c r="V24" s="296">
        <v>0.6965433767029816</v>
      </c>
      <c r="W24" s="293">
        <v>65</v>
      </c>
      <c r="AE24" s="186"/>
      <c r="AF24" s="186"/>
      <c r="AG24" s="186"/>
      <c r="AH24" s="186"/>
      <c r="AI24" s="186"/>
      <c r="AJ24" s="186"/>
      <c r="AK24" s="186"/>
      <c r="AL24" s="186"/>
      <c r="AM24" s="186"/>
      <c r="AN24" s="315"/>
      <c r="AO24" s="315"/>
      <c r="AP24" s="299"/>
      <c r="AQ24" s="300"/>
      <c r="AR24" s="301"/>
      <c r="AS24" s="301"/>
      <c r="AT24" s="301"/>
      <c r="AU24" s="301"/>
      <c r="AV24" s="301"/>
      <c r="AW24" s="301"/>
      <c r="AX24" s="301"/>
      <c r="AY24" s="302"/>
    </row>
    <row r="25" spans="1:51" ht="13.5" thickBot="1">
      <c r="A25" s="65" t="s">
        <v>114</v>
      </c>
      <c r="B25" s="303">
        <v>0</v>
      </c>
      <c r="C25" s="304">
        <v>0</v>
      </c>
      <c r="D25" s="304">
        <v>0.7660252828922804</v>
      </c>
      <c r="E25" s="304">
        <v>1.0632065164401583</v>
      </c>
      <c r="F25" s="304">
        <v>0</v>
      </c>
      <c r="G25" s="304">
        <v>1.1709591005618292</v>
      </c>
      <c r="H25" s="304"/>
      <c r="I25" s="304"/>
      <c r="J25" s="305">
        <v>0.7380331702013259</v>
      </c>
      <c r="K25" s="291">
        <v>1.494754</v>
      </c>
      <c r="L25" s="289"/>
      <c r="M25" s="306" t="s">
        <v>114</v>
      </c>
      <c r="N25" s="307">
        <v>0</v>
      </c>
      <c r="O25" s="307">
        <v>0</v>
      </c>
      <c r="P25" s="307">
        <v>1.6095284081764043</v>
      </c>
      <c r="Q25" s="307">
        <v>1.2655184196205977</v>
      </c>
      <c r="R25" s="307">
        <v>0</v>
      </c>
      <c r="S25" s="307">
        <v>1.3116130216940793</v>
      </c>
      <c r="T25" s="307"/>
      <c r="U25" s="307"/>
      <c r="V25" s="305">
        <v>1.0185000346290014</v>
      </c>
      <c r="W25" s="293">
        <v>5</v>
      </c>
      <c r="X25" s="55"/>
      <c r="Y25" s="55"/>
      <c r="Z25" s="55"/>
      <c r="AE25" s="276" t="s">
        <v>123</v>
      </c>
      <c r="AF25" s="276" t="s">
        <v>28</v>
      </c>
      <c r="AG25" s="277"/>
      <c r="AH25" s="277"/>
      <c r="AI25" s="277"/>
      <c r="AJ25" s="277"/>
      <c r="AK25" s="277"/>
      <c r="AL25" s="277"/>
      <c r="AM25" s="277"/>
      <c r="AN25" s="189"/>
      <c r="AO25" s="311"/>
      <c r="AP25" s="186"/>
      <c r="AQ25" s="186"/>
      <c r="AR25" s="186"/>
      <c r="AS25" s="186"/>
      <c r="AT25" s="186"/>
      <c r="AU25" s="186"/>
      <c r="AV25" s="186"/>
      <c r="AW25" s="186"/>
      <c r="AX25" s="186"/>
      <c r="AY25" s="186"/>
    </row>
    <row r="26" spans="1:51" s="54" customFormat="1" ht="13.5" thickTop="1">
      <c r="A26" s="75" t="s">
        <v>84</v>
      </c>
      <c r="B26" s="76">
        <v>0.995043859521472</v>
      </c>
      <c r="C26" s="76">
        <v>0.7768484402690453</v>
      </c>
      <c r="D26" s="76">
        <v>0.8311421903258376</v>
      </c>
      <c r="E26" s="76">
        <v>1.032807795518692</v>
      </c>
      <c r="F26" s="76">
        <v>0.8588618703964103</v>
      </c>
      <c r="G26" s="76">
        <v>0.9873237528028692</v>
      </c>
      <c r="H26" s="76">
        <v>0.9552869384067412</v>
      </c>
      <c r="I26" s="76">
        <v>0.9289179628320325</v>
      </c>
      <c r="J26" s="86">
        <v>0.9252650863853982</v>
      </c>
      <c r="K26" s="74"/>
      <c r="L26" s="74"/>
      <c r="M26" s="77" t="s">
        <v>84</v>
      </c>
      <c r="N26" s="81">
        <v>0.788401270459373</v>
      </c>
      <c r="O26" s="81">
        <v>0.8603024405598357</v>
      </c>
      <c r="P26" s="81">
        <v>0.9783117529944731</v>
      </c>
      <c r="Q26" s="81">
        <v>1.0168575624082241</v>
      </c>
      <c r="R26" s="81">
        <v>0.9157174860994464</v>
      </c>
      <c r="S26" s="81">
        <v>0.9438828892777968</v>
      </c>
      <c r="T26" s="81">
        <v>0.9499312827698296</v>
      </c>
      <c r="U26" s="81">
        <v>0.9324490692964217</v>
      </c>
      <c r="V26" s="86">
        <v>0.9386680905259135</v>
      </c>
      <c r="W26" s="56"/>
      <c r="X26" s="56"/>
      <c r="Y26" s="53"/>
      <c r="Z26" s="53"/>
      <c r="AD26" s="83"/>
      <c r="AE26" s="276" t="s">
        <v>121</v>
      </c>
      <c r="AF26" s="276" t="s">
        <v>115</v>
      </c>
      <c r="AG26" s="278" t="s">
        <v>116</v>
      </c>
      <c r="AH26" s="278" t="s">
        <v>117</v>
      </c>
      <c r="AI26" s="278" t="s">
        <v>118</v>
      </c>
      <c r="AJ26" s="278" t="s">
        <v>119</v>
      </c>
      <c r="AK26" s="278" t="s">
        <v>34</v>
      </c>
      <c r="AL26" s="278" t="s">
        <v>35</v>
      </c>
      <c r="AM26" s="278" t="s">
        <v>36</v>
      </c>
      <c r="AN26" s="278" t="s">
        <v>122</v>
      </c>
      <c r="AO26" s="316"/>
      <c r="AP26" s="278" t="s">
        <v>123</v>
      </c>
      <c r="AQ26" s="276" t="s">
        <v>28</v>
      </c>
      <c r="AR26" s="277"/>
      <c r="AS26" s="277"/>
      <c r="AT26" s="277"/>
      <c r="AU26" s="277"/>
      <c r="AV26" s="277"/>
      <c r="AW26" s="277"/>
      <c r="AX26" s="277"/>
      <c r="AY26" s="279"/>
    </row>
    <row r="27" spans="1:51" ht="15">
      <c r="A27" s="64"/>
      <c r="B27" s="64"/>
      <c r="C27" s="78"/>
      <c r="D27" s="78"/>
      <c r="E27" s="78"/>
      <c r="F27" s="78"/>
      <c r="G27" s="747" t="s">
        <v>68</v>
      </c>
      <c r="H27" s="747"/>
      <c r="I27" s="747"/>
      <c r="J27" s="747"/>
      <c r="K27" s="747"/>
      <c r="L27" s="747"/>
      <c r="M27" s="747"/>
      <c r="N27" s="747"/>
      <c r="O27" s="747"/>
      <c r="P27" s="78"/>
      <c r="Q27" s="78"/>
      <c r="R27" s="78"/>
      <c r="S27" s="79"/>
      <c r="T27" s="80"/>
      <c r="U27" s="80"/>
      <c r="V27" s="80"/>
      <c r="W27" s="46"/>
      <c r="X27" s="46"/>
      <c r="Y27" s="46"/>
      <c r="Z27" s="45"/>
      <c r="AC27" s="275"/>
      <c r="AE27" s="276" t="s">
        <v>16</v>
      </c>
      <c r="AF27" s="280">
        <v>2094138.487349999</v>
      </c>
      <c r="AG27" s="281">
        <v>2091365.6947700004</v>
      </c>
      <c r="AH27" s="281">
        <v>1826996.929130002</v>
      </c>
      <c r="AI27" s="281">
        <v>3116643.3148599984</v>
      </c>
      <c r="AJ27" s="281">
        <v>5161373.104530005</v>
      </c>
      <c r="AK27" s="281">
        <v>4090918.4250799944</v>
      </c>
      <c r="AL27" s="281">
        <v>3914466.9825899936</v>
      </c>
      <c r="AM27" s="281">
        <v>1775168.1057299972</v>
      </c>
      <c r="AN27" s="281">
        <v>24071071.04403994</v>
      </c>
      <c r="AO27" s="316"/>
      <c r="AP27" s="278" t="s">
        <v>121</v>
      </c>
      <c r="AQ27" s="276" t="s">
        <v>115</v>
      </c>
      <c r="AR27" s="278" t="s">
        <v>116</v>
      </c>
      <c r="AS27" s="278" t="s">
        <v>117</v>
      </c>
      <c r="AT27" s="278" t="s">
        <v>118</v>
      </c>
      <c r="AU27" s="278" t="s">
        <v>119</v>
      </c>
      <c r="AV27" s="278" t="s">
        <v>34</v>
      </c>
      <c r="AW27" s="278" t="s">
        <v>35</v>
      </c>
      <c r="AX27" s="278" t="s">
        <v>36</v>
      </c>
      <c r="AY27" s="282" t="s">
        <v>122</v>
      </c>
    </row>
    <row r="28" spans="1:51" ht="15">
      <c r="A28" s="69"/>
      <c r="B28" s="746" t="s">
        <v>70</v>
      </c>
      <c r="C28" s="746"/>
      <c r="D28" s="746"/>
      <c r="E28" s="746"/>
      <c r="F28" s="746"/>
      <c r="G28" s="746"/>
      <c r="H28" s="746"/>
      <c r="I28" s="746"/>
      <c r="J28" s="70"/>
      <c r="K28" s="70"/>
      <c r="L28" s="71"/>
      <c r="M28" s="71"/>
      <c r="N28" s="746" t="s">
        <v>257</v>
      </c>
      <c r="O28" s="746"/>
      <c r="P28" s="746"/>
      <c r="Q28" s="746"/>
      <c r="R28" s="746"/>
      <c r="S28" s="746"/>
      <c r="T28" s="746"/>
      <c r="U28" s="746"/>
      <c r="V28" s="70"/>
      <c r="W28" s="55"/>
      <c r="X28" s="55"/>
      <c r="Y28" s="55"/>
      <c r="Z28" s="55"/>
      <c r="AE28" s="283" t="s">
        <v>17</v>
      </c>
      <c r="AF28" s="284">
        <v>5201837.432310001</v>
      </c>
      <c r="AG28" s="285">
        <v>6096674.198769995</v>
      </c>
      <c r="AH28" s="285">
        <v>5973660.448099998</v>
      </c>
      <c r="AI28" s="285">
        <v>10600760.050829997</v>
      </c>
      <c r="AJ28" s="285">
        <v>20623961.739350032</v>
      </c>
      <c r="AK28" s="285">
        <v>15698922.380349996</v>
      </c>
      <c r="AL28" s="285">
        <v>15514086.930709973</v>
      </c>
      <c r="AM28" s="285">
        <v>6647856.442759997</v>
      </c>
      <c r="AN28" s="285">
        <v>86357759.62317985</v>
      </c>
      <c r="AO28" s="316"/>
      <c r="AP28" s="278" t="s">
        <v>16</v>
      </c>
      <c r="AQ28" s="280">
        <v>634825.2602299994</v>
      </c>
      <c r="AR28" s="281">
        <v>416385.78729000007</v>
      </c>
      <c r="AS28" s="281">
        <v>304386.81574</v>
      </c>
      <c r="AT28" s="281">
        <v>500936.54943000013</v>
      </c>
      <c r="AU28" s="281">
        <v>800141.6709899982</v>
      </c>
      <c r="AV28" s="281">
        <v>658583.17305</v>
      </c>
      <c r="AW28" s="281">
        <v>811570.8827200006</v>
      </c>
      <c r="AX28" s="281">
        <v>400850.73986999993</v>
      </c>
      <c r="AY28" s="286">
        <v>4527680.879319999</v>
      </c>
    </row>
    <row r="29" spans="1:51" ht="12.75">
      <c r="A29" s="752" t="s">
        <v>11</v>
      </c>
      <c r="B29" s="743" t="s">
        <v>28</v>
      </c>
      <c r="C29" s="744"/>
      <c r="D29" s="744"/>
      <c r="E29" s="744"/>
      <c r="F29" s="744"/>
      <c r="G29" s="744"/>
      <c r="H29" s="744"/>
      <c r="I29" s="745"/>
      <c r="J29" s="754" t="s">
        <v>84</v>
      </c>
      <c r="K29" s="70"/>
      <c r="L29" s="71"/>
      <c r="M29" s="752" t="s">
        <v>11</v>
      </c>
      <c r="N29" s="743" t="s">
        <v>28</v>
      </c>
      <c r="O29" s="744"/>
      <c r="P29" s="744"/>
      <c r="Q29" s="744"/>
      <c r="R29" s="744"/>
      <c r="S29" s="744"/>
      <c r="T29" s="744"/>
      <c r="U29" s="745"/>
      <c r="V29" s="754" t="s">
        <v>84</v>
      </c>
      <c r="W29" s="55"/>
      <c r="X29" s="55"/>
      <c r="Y29" s="55"/>
      <c r="Z29" s="55"/>
      <c r="AE29" s="283"/>
      <c r="AF29" s="284"/>
      <c r="AG29" s="285"/>
      <c r="AH29" s="285"/>
      <c r="AI29" s="285"/>
      <c r="AJ29" s="285"/>
      <c r="AK29" s="285"/>
      <c r="AL29" s="285"/>
      <c r="AM29" s="285"/>
      <c r="AN29" s="285"/>
      <c r="AO29" s="309"/>
      <c r="AP29" s="189"/>
      <c r="AQ29" s="284"/>
      <c r="AR29" s="298"/>
      <c r="AS29" s="298"/>
      <c r="AT29" s="298"/>
      <c r="AU29" s="298"/>
      <c r="AV29" s="298"/>
      <c r="AW29" s="298"/>
      <c r="AX29" s="298"/>
      <c r="AY29" s="287"/>
    </row>
    <row r="30" spans="1:51" ht="12.75">
      <c r="A30" s="753" t="s">
        <v>11</v>
      </c>
      <c r="B30" s="72" t="s">
        <v>115</v>
      </c>
      <c r="C30" s="73" t="s">
        <v>116</v>
      </c>
      <c r="D30" s="73" t="s">
        <v>117</v>
      </c>
      <c r="E30" s="73" t="s">
        <v>118</v>
      </c>
      <c r="F30" s="73" t="s">
        <v>119</v>
      </c>
      <c r="G30" s="73" t="s">
        <v>34</v>
      </c>
      <c r="H30" s="73" t="s">
        <v>35</v>
      </c>
      <c r="I30" s="665" t="s">
        <v>36</v>
      </c>
      <c r="J30" s="755" t="s">
        <v>84</v>
      </c>
      <c r="K30" s="73" t="s">
        <v>129</v>
      </c>
      <c r="L30" s="74"/>
      <c r="M30" s="753" t="s">
        <v>11</v>
      </c>
      <c r="N30" s="72" t="s">
        <v>115</v>
      </c>
      <c r="O30" s="73" t="s">
        <v>116</v>
      </c>
      <c r="P30" s="73" t="s">
        <v>117</v>
      </c>
      <c r="Q30" s="73" t="s">
        <v>118</v>
      </c>
      <c r="R30" s="73" t="s">
        <v>119</v>
      </c>
      <c r="S30" s="73" t="s">
        <v>34</v>
      </c>
      <c r="T30" s="73" t="s">
        <v>35</v>
      </c>
      <c r="U30" s="665" t="s">
        <v>36</v>
      </c>
      <c r="V30" s="755" t="s">
        <v>84</v>
      </c>
      <c r="W30" s="73" t="s">
        <v>128</v>
      </c>
      <c r="X30" s="56"/>
      <c r="Y30" s="294"/>
      <c r="Z30" s="294"/>
      <c r="AE30" s="283" t="s">
        <v>18</v>
      </c>
      <c r="AF30" s="284">
        <v>9729194.787240002</v>
      </c>
      <c r="AG30" s="285">
        <v>12474098.657359999</v>
      </c>
      <c r="AH30" s="285">
        <v>13060118.497800022</v>
      </c>
      <c r="AI30" s="285">
        <v>24469124.13511997</v>
      </c>
      <c r="AJ30" s="285">
        <v>50224182.03848001</v>
      </c>
      <c r="AK30" s="285">
        <v>36818388.36360998</v>
      </c>
      <c r="AL30" s="285">
        <v>31783516.115190014</v>
      </c>
      <c r="AM30" s="285">
        <v>12139292.415759996</v>
      </c>
      <c r="AN30" s="285">
        <v>190697915.01056024</v>
      </c>
      <c r="AO30" s="309"/>
      <c r="AP30" s="189" t="s">
        <v>17</v>
      </c>
      <c r="AQ30" s="284">
        <v>892401.8178499999</v>
      </c>
      <c r="AR30" s="285">
        <v>717762.7959299991</v>
      </c>
      <c r="AS30" s="285">
        <v>520262.3390600003</v>
      </c>
      <c r="AT30" s="285">
        <v>956854.3529499993</v>
      </c>
      <c r="AU30" s="285">
        <v>2303259.4719299995</v>
      </c>
      <c r="AV30" s="285">
        <v>2235337.1092000003</v>
      </c>
      <c r="AW30" s="285">
        <v>2426971.0891300016</v>
      </c>
      <c r="AX30" s="285">
        <v>1098424.8502900007</v>
      </c>
      <c r="AY30" s="287">
        <v>11151273.826340003</v>
      </c>
    </row>
    <row r="31" spans="1:51" ht="12.75">
      <c r="A31" s="64" t="s">
        <v>16</v>
      </c>
      <c r="B31" s="288">
        <v>1.079037087704767</v>
      </c>
      <c r="C31" s="289">
        <v>0</v>
      </c>
      <c r="D31" s="289">
        <v>0.921133851735204</v>
      </c>
      <c r="E31" s="289">
        <v>1.99626080615972</v>
      </c>
      <c r="F31" s="289">
        <v>0.8123561408766122</v>
      </c>
      <c r="G31" s="289">
        <v>0.6832849948412448</v>
      </c>
      <c r="H31" s="289">
        <v>0.7701114139350304</v>
      </c>
      <c r="I31" s="289">
        <v>0.27192166349836294</v>
      </c>
      <c r="J31" s="296">
        <v>0.8391450504724215</v>
      </c>
      <c r="K31" s="291">
        <v>3.799381</v>
      </c>
      <c r="L31" s="289"/>
      <c r="M31" s="66" t="s">
        <v>16</v>
      </c>
      <c r="N31" s="292">
        <v>0.9953715224207434</v>
      </c>
      <c r="O31" s="292">
        <v>0</v>
      </c>
      <c r="P31" s="292">
        <v>0.9439349817584562</v>
      </c>
      <c r="Q31" s="292">
        <v>1.0751011938998762</v>
      </c>
      <c r="R31" s="292">
        <v>1.0353020752630104</v>
      </c>
      <c r="S31" s="292">
        <v>0.7967349800517473</v>
      </c>
      <c r="T31" s="292">
        <v>0.8354567859977439</v>
      </c>
      <c r="U31" s="292">
        <v>0.33316341998913873</v>
      </c>
      <c r="V31" s="308">
        <v>0.8025295732147727</v>
      </c>
      <c r="W31" s="111">
        <v>26</v>
      </c>
      <c r="X31" s="294"/>
      <c r="Y31" s="294"/>
      <c r="Z31" s="294"/>
      <c r="AE31" s="283" t="s">
        <v>19</v>
      </c>
      <c r="AF31" s="284">
        <v>12471790.152969992</v>
      </c>
      <c r="AG31" s="285">
        <v>15067993.698360002</v>
      </c>
      <c r="AH31" s="285">
        <v>15489492.318840018</v>
      </c>
      <c r="AI31" s="285">
        <v>33202759.04440994</v>
      </c>
      <c r="AJ31" s="285">
        <v>78802411.66286974</v>
      </c>
      <c r="AK31" s="285">
        <v>52544109.35308011</v>
      </c>
      <c r="AL31" s="285">
        <v>40760869.47652004</v>
      </c>
      <c r="AM31" s="285">
        <v>13278075.375349995</v>
      </c>
      <c r="AN31" s="285">
        <v>261617501.08240107</v>
      </c>
      <c r="AO31" s="309"/>
      <c r="AP31" s="189" t="s">
        <v>18</v>
      </c>
      <c r="AQ31" s="284">
        <v>1148382.03308</v>
      </c>
      <c r="AR31" s="285">
        <v>1201279.8791599986</v>
      </c>
      <c r="AS31" s="285">
        <v>1118663.9638</v>
      </c>
      <c r="AT31" s="285">
        <v>2177144.507400002</v>
      </c>
      <c r="AU31" s="285">
        <v>5808991.367140007</v>
      </c>
      <c r="AV31" s="285">
        <v>5863579.71798</v>
      </c>
      <c r="AW31" s="285">
        <v>5729565.168099994</v>
      </c>
      <c r="AX31" s="285">
        <v>2303733.555110002</v>
      </c>
      <c r="AY31" s="287">
        <v>25351340.191770017</v>
      </c>
    </row>
    <row r="32" spans="1:51" ht="12.75">
      <c r="A32" s="64" t="s">
        <v>17</v>
      </c>
      <c r="B32" s="295">
        <v>0.30815714905482583</v>
      </c>
      <c r="C32" s="289">
        <v>0.4179653803472666</v>
      </c>
      <c r="D32" s="289">
        <v>1.345475056420087</v>
      </c>
      <c r="E32" s="289">
        <v>1.1856715669446132</v>
      </c>
      <c r="F32" s="289">
        <v>0.7452330147422339</v>
      </c>
      <c r="G32" s="289">
        <v>0.674314399289623</v>
      </c>
      <c r="H32" s="289">
        <v>0.9476833120515186</v>
      </c>
      <c r="I32" s="289">
        <v>0.888545083209217</v>
      </c>
      <c r="J32" s="296">
        <v>0.7989490831940363</v>
      </c>
      <c r="K32" s="291">
        <v>8.9093</v>
      </c>
      <c r="L32" s="289"/>
      <c r="M32" s="66" t="s">
        <v>17</v>
      </c>
      <c r="N32" s="292">
        <v>0.4663135119003208</v>
      </c>
      <c r="O32" s="292">
        <v>0.8372544751251694</v>
      </c>
      <c r="P32" s="292">
        <v>2.133060301614726</v>
      </c>
      <c r="Q32" s="292">
        <v>1.2570484502388397</v>
      </c>
      <c r="R32" s="292">
        <v>0.768702532618611</v>
      </c>
      <c r="S32" s="292">
        <v>0.6509530544492643</v>
      </c>
      <c r="T32" s="292">
        <v>0.8805406726916373</v>
      </c>
      <c r="U32" s="292">
        <v>0.7976199022118002</v>
      </c>
      <c r="V32" s="308">
        <v>0.8458584363512991</v>
      </c>
      <c r="W32" s="111">
        <v>65</v>
      </c>
      <c r="X32" s="294"/>
      <c r="Y32" s="294"/>
      <c r="Z32" s="294"/>
      <c r="AE32" s="283" t="s">
        <v>104</v>
      </c>
      <c r="AF32" s="284">
        <v>11086800.691660017</v>
      </c>
      <c r="AG32" s="285">
        <v>13189405.30557</v>
      </c>
      <c r="AH32" s="285">
        <v>15764236.916569987</v>
      </c>
      <c r="AI32" s="285">
        <v>36552160.40491998</v>
      </c>
      <c r="AJ32" s="285">
        <v>84846861.72680996</v>
      </c>
      <c r="AK32" s="285">
        <v>51875823.05785994</v>
      </c>
      <c r="AL32" s="285">
        <v>35259335.53756996</v>
      </c>
      <c r="AM32" s="285">
        <v>9864654.334990004</v>
      </c>
      <c r="AN32" s="285">
        <v>258439277.97595087</v>
      </c>
      <c r="AO32" s="309"/>
      <c r="AP32" s="189" t="s">
        <v>19</v>
      </c>
      <c r="AQ32" s="284">
        <v>1349568.7483299992</v>
      </c>
      <c r="AR32" s="285">
        <v>1526861.8939400008</v>
      </c>
      <c r="AS32" s="285">
        <v>1619833.6871699998</v>
      </c>
      <c r="AT32" s="285">
        <v>3920328.3208099995</v>
      </c>
      <c r="AU32" s="285">
        <v>11291167.74409998</v>
      </c>
      <c r="AV32" s="285">
        <v>9365035.993330002</v>
      </c>
      <c r="AW32" s="285">
        <v>8522781.800460003</v>
      </c>
      <c r="AX32" s="285">
        <v>3167384.490759999</v>
      </c>
      <c r="AY32" s="287">
        <v>40762962.67890004</v>
      </c>
    </row>
    <row r="33" spans="1:51" ht="12.75">
      <c r="A33" s="64" t="s">
        <v>18</v>
      </c>
      <c r="B33" s="295">
        <v>0.1306185534770993</v>
      </c>
      <c r="C33" s="289">
        <v>0.957312296618289</v>
      </c>
      <c r="D33" s="289">
        <v>1.5286091760668552</v>
      </c>
      <c r="E33" s="289">
        <v>1.0150910940860038</v>
      </c>
      <c r="F33" s="289">
        <v>0.6429687641004175</v>
      </c>
      <c r="G33" s="289">
        <v>0.8415940837076266</v>
      </c>
      <c r="H33" s="289">
        <v>0.9026103811146561</v>
      </c>
      <c r="I33" s="289">
        <v>1.0748708306598256</v>
      </c>
      <c r="J33" s="296">
        <v>0.849561989112981</v>
      </c>
      <c r="K33" s="291">
        <v>21.537535</v>
      </c>
      <c r="L33" s="289"/>
      <c r="M33" s="66" t="s">
        <v>18</v>
      </c>
      <c r="N33" s="292">
        <v>0.21358439466978782</v>
      </c>
      <c r="O33" s="292">
        <v>0.7693787266782073</v>
      </c>
      <c r="P33" s="292">
        <v>0.9683991973907453</v>
      </c>
      <c r="Q33" s="292">
        <v>1.066907550682554</v>
      </c>
      <c r="R33" s="292">
        <v>0.7491278902810649</v>
      </c>
      <c r="S33" s="292">
        <v>1.0330818639896069</v>
      </c>
      <c r="T33" s="292">
        <v>0.8800331653579944</v>
      </c>
      <c r="U33" s="292">
        <v>1.0357085036574138</v>
      </c>
      <c r="V33" s="308">
        <v>0.9013187260821621</v>
      </c>
      <c r="W33" s="111">
        <v>149</v>
      </c>
      <c r="X33" s="294"/>
      <c r="Y33" s="294"/>
      <c r="Z33" s="294"/>
      <c r="AE33" s="283" t="s">
        <v>105</v>
      </c>
      <c r="AF33" s="284">
        <v>8658541.462280001</v>
      </c>
      <c r="AG33" s="285">
        <v>12474943.282599984</v>
      </c>
      <c r="AH33" s="285">
        <v>16045272.375550028</v>
      </c>
      <c r="AI33" s="285">
        <v>34889825.595450036</v>
      </c>
      <c r="AJ33" s="285">
        <v>78307211.90416017</v>
      </c>
      <c r="AK33" s="285">
        <v>40822937.25159004</v>
      </c>
      <c r="AL33" s="285">
        <v>26696206.035760053</v>
      </c>
      <c r="AM33" s="285">
        <v>9342196.874759996</v>
      </c>
      <c r="AN33" s="285">
        <v>227237134.7821496</v>
      </c>
      <c r="AO33" s="309"/>
      <c r="AP33" s="189" t="s">
        <v>104</v>
      </c>
      <c r="AQ33" s="284">
        <v>1328339.4762799998</v>
      </c>
      <c r="AR33" s="285">
        <v>2036988.302609999</v>
      </c>
      <c r="AS33" s="285">
        <v>2507788.209210002</v>
      </c>
      <c r="AT33" s="285">
        <v>5638484.46654</v>
      </c>
      <c r="AU33" s="285">
        <v>13363671.554990001</v>
      </c>
      <c r="AV33" s="285">
        <v>10426307.31605001</v>
      </c>
      <c r="AW33" s="285">
        <v>9693455.654069982</v>
      </c>
      <c r="AX33" s="285">
        <v>3545923.390939997</v>
      </c>
      <c r="AY33" s="287">
        <v>48540958.37069004</v>
      </c>
    </row>
    <row r="34" spans="1:51" ht="12.75">
      <c r="A34" s="64" t="s">
        <v>19</v>
      </c>
      <c r="B34" s="295">
        <v>0.22229323283547406</v>
      </c>
      <c r="C34" s="289">
        <v>0.4257097531740108</v>
      </c>
      <c r="D34" s="289">
        <v>0.6790820617651199</v>
      </c>
      <c r="E34" s="289">
        <v>0.5611774882021735</v>
      </c>
      <c r="F34" s="289">
        <v>1.0365510694069395</v>
      </c>
      <c r="G34" s="289">
        <v>0.8056971703444596</v>
      </c>
      <c r="H34" s="289">
        <v>0.7958638574595331</v>
      </c>
      <c r="I34" s="289">
        <v>0.7553377264362191</v>
      </c>
      <c r="J34" s="296">
        <v>0.8015775069488102</v>
      </c>
      <c r="K34" s="291">
        <v>32.674674</v>
      </c>
      <c r="L34" s="289"/>
      <c r="M34" s="66" t="s">
        <v>19</v>
      </c>
      <c r="N34" s="292">
        <v>0.38272091608078473</v>
      </c>
      <c r="O34" s="292">
        <v>0.6266459246865596</v>
      </c>
      <c r="P34" s="292">
        <v>1.1018327610689431</v>
      </c>
      <c r="Q34" s="292">
        <v>0.7567387586457399</v>
      </c>
      <c r="R34" s="292">
        <v>1.0193426259405298</v>
      </c>
      <c r="S34" s="292">
        <v>1.0559979977017067</v>
      </c>
      <c r="T34" s="292">
        <v>0.8764785518956206</v>
      </c>
      <c r="U34" s="292">
        <v>0.9245426140601926</v>
      </c>
      <c r="V34" s="308">
        <v>0.9445490944869765</v>
      </c>
      <c r="W34" s="111">
        <v>238</v>
      </c>
      <c r="X34" s="294"/>
      <c r="Y34" s="294"/>
      <c r="Z34" s="294"/>
      <c r="AE34" s="283" t="s">
        <v>106</v>
      </c>
      <c r="AF34" s="284">
        <v>6864016.2263400005</v>
      </c>
      <c r="AG34" s="285">
        <v>10811718.401099993</v>
      </c>
      <c r="AH34" s="285">
        <v>13710175.62100001</v>
      </c>
      <c r="AI34" s="285">
        <v>30177314.08360002</v>
      </c>
      <c r="AJ34" s="285">
        <v>64925898.306360014</v>
      </c>
      <c r="AK34" s="285">
        <v>30039791.429549985</v>
      </c>
      <c r="AL34" s="285">
        <v>26002403.43271001</v>
      </c>
      <c r="AM34" s="285">
        <v>13409605.757239996</v>
      </c>
      <c r="AN34" s="285">
        <v>195940923.25790018</v>
      </c>
      <c r="AO34" s="309"/>
      <c r="AP34" s="189" t="s">
        <v>105</v>
      </c>
      <c r="AQ34" s="284">
        <v>1661119.0395899988</v>
      </c>
      <c r="AR34" s="285">
        <v>2358095.7624300006</v>
      </c>
      <c r="AS34" s="285">
        <v>2643934.0075699985</v>
      </c>
      <c r="AT34" s="285">
        <v>5587552.56702</v>
      </c>
      <c r="AU34" s="285">
        <v>13002433.192910003</v>
      </c>
      <c r="AV34" s="285">
        <v>11516919.946909988</v>
      </c>
      <c r="AW34" s="285">
        <v>9172751.116910003</v>
      </c>
      <c r="AX34" s="285">
        <v>3032164.8546799994</v>
      </c>
      <c r="AY34" s="287">
        <v>48974970.48801985</v>
      </c>
    </row>
    <row r="35" spans="1:51" ht="12.75">
      <c r="A35" s="64" t="s">
        <v>104</v>
      </c>
      <c r="B35" s="295">
        <v>0.8281015656333108</v>
      </c>
      <c r="C35" s="289">
        <v>0.6872891700979213</v>
      </c>
      <c r="D35" s="289">
        <v>0.45857141993751965</v>
      </c>
      <c r="E35" s="289">
        <v>0.6897261175548565</v>
      </c>
      <c r="F35" s="289">
        <v>0.9347992390111796</v>
      </c>
      <c r="G35" s="289">
        <v>0.7931293169605955</v>
      </c>
      <c r="H35" s="289">
        <v>0.72021622104071</v>
      </c>
      <c r="I35" s="289">
        <v>0.845104834373086</v>
      </c>
      <c r="J35" s="296">
        <v>0.788588282655612</v>
      </c>
      <c r="K35" s="291">
        <v>38.278831</v>
      </c>
      <c r="L35" s="289"/>
      <c r="M35" s="66" t="s">
        <v>104</v>
      </c>
      <c r="N35" s="292">
        <v>0.8492020897165024</v>
      </c>
      <c r="O35" s="292">
        <v>0.8648022251361255</v>
      </c>
      <c r="P35" s="292">
        <v>0.690455743944487</v>
      </c>
      <c r="Q35" s="292">
        <v>0.9792920258951828</v>
      </c>
      <c r="R35" s="292">
        <v>1.0892230749122036</v>
      </c>
      <c r="S35" s="292">
        <v>0.6774707859969866</v>
      </c>
      <c r="T35" s="292">
        <v>0.8335721838244674</v>
      </c>
      <c r="U35" s="292">
        <v>0.9707297252696201</v>
      </c>
      <c r="V35" s="308">
        <v>0.890041306711506</v>
      </c>
      <c r="W35" s="111">
        <v>253</v>
      </c>
      <c r="X35" s="294"/>
      <c r="Y35" s="294"/>
      <c r="Z35" s="294"/>
      <c r="AE35" s="283" t="s">
        <v>107</v>
      </c>
      <c r="AF35" s="284">
        <v>5612040.260090001</v>
      </c>
      <c r="AG35" s="285">
        <v>8912700.342029992</v>
      </c>
      <c r="AH35" s="285">
        <v>11507627.149240015</v>
      </c>
      <c r="AI35" s="285">
        <v>24291109.90663</v>
      </c>
      <c r="AJ35" s="285">
        <v>52991630.83955991</v>
      </c>
      <c r="AK35" s="285">
        <v>29516360.61462</v>
      </c>
      <c r="AL35" s="285">
        <v>35258071.89401996</v>
      </c>
      <c r="AM35" s="285">
        <v>18693620.360109977</v>
      </c>
      <c r="AN35" s="285">
        <v>186783161.3663002</v>
      </c>
      <c r="AO35" s="309"/>
      <c r="AP35" s="189" t="s">
        <v>106</v>
      </c>
      <c r="AQ35" s="284">
        <v>1244613.060200001</v>
      </c>
      <c r="AR35" s="285">
        <v>1758974.3540100006</v>
      </c>
      <c r="AS35" s="285">
        <v>2104844.3838499994</v>
      </c>
      <c r="AT35" s="285">
        <v>5281036.507869997</v>
      </c>
      <c r="AU35" s="285">
        <v>12781955.952040015</v>
      </c>
      <c r="AV35" s="285">
        <v>8585220.631959999</v>
      </c>
      <c r="AW35" s="285">
        <v>9891221.889960002</v>
      </c>
      <c r="AX35" s="285">
        <v>3886941.01704</v>
      </c>
      <c r="AY35" s="287">
        <v>45534807.79693006</v>
      </c>
    </row>
    <row r="36" spans="1:51" ht="12.75">
      <c r="A36" s="64" t="s">
        <v>105</v>
      </c>
      <c r="B36" s="295">
        <v>0.7374546741107467</v>
      </c>
      <c r="C36" s="289">
        <v>0.6361064821448392</v>
      </c>
      <c r="D36" s="289">
        <v>0.9716683520256066</v>
      </c>
      <c r="E36" s="289">
        <v>0.9098795830589282</v>
      </c>
      <c r="F36" s="289">
        <v>0.9257498055489769</v>
      </c>
      <c r="G36" s="289">
        <v>0.9671688308460072</v>
      </c>
      <c r="H36" s="289">
        <v>0.9972044246504492</v>
      </c>
      <c r="I36" s="289">
        <v>1.1443780817669953</v>
      </c>
      <c r="J36" s="296">
        <v>0.9427444986678261</v>
      </c>
      <c r="K36" s="291">
        <v>46.170884</v>
      </c>
      <c r="L36" s="289"/>
      <c r="M36" s="66" t="s">
        <v>105</v>
      </c>
      <c r="N36" s="292">
        <v>1.192648514556275</v>
      </c>
      <c r="O36" s="292">
        <v>0.8054008390486961</v>
      </c>
      <c r="P36" s="292">
        <v>0.843125081438218</v>
      </c>
      <c r="Q36" s="292">
        <v>1.0635653102220592</v>
      </c>
      <c r="R36" s="292">
        <v>0.9567924489939934</v>
      </c>
      <c r="S36" s="292">
        <v>1.0593604831795254</v>
      </c>
      <c r="T36" s="292">
        <v>1.2242165861383276</v>
      </c>
      <c r="U36" s="292">
        <v>1.2479298663415113</v>
      </c>
      <c r="V36" s="308">
        <v>1.0598642010605077</v>
      </c>
      <c r="W36" s="111">
        <v>283</v>
      </c>
      <c r="X36" s="294"/>
      <c r="Y36" s="294"/>
      <c r="Z36" s="294"/>
      <c r="AE36" s="283" t="s">
        <v>108</v>
      </c>
      <c r="AF36" s="284">
        <v>4185112.432990002</v>
      </c>
      <c r="AG36" s="285">
        <v>7061221.911449996</v>
      </c>
      <c r="AH36" s="285">
        <v>8914147.96573001</v>
      </c>
      <c r="AI36" s="285">
        <v>19259865.03054</v>
      </c>
      <c r="AJ36" s="285">
        <v>49396666.519429855</v>
      </c>
      <c r="AK36" s="285">
        <v>48880271.59594001</v>
      </c>
      <c r="AL36" s="285">
        <v>51866142.205249995</v>
      </c>
      <c r="AM36" s="285">
        <v>20096147.967180002</v>
      </c>
      <c r="AN36" s="285">
        <v>209659575.62851003</v>
      </c>
      <c r="AO36" s="309"/>
      <c r="AP36" s="189" t="s">
        <v>107</v>
      </c>
      <c r="AQ36" s="284">
        <v>946200.5186300001</v>
      </c>
      <c r="AR36" s="285">
        <v>1544198.3403599996</v>
      </c>
      <c r="AS36" s="285">
        <v>1775986.34505</v>
      </c>
      <c r="AT36" s="285">
        <v>4533141.112580001</v>
      </c>
      <c r="AU36" s="285">
        <v>10701803.187680004</v>
      </c>
      <c r="AV36" s="285">
        <v>9003904.193640005</v>
      </c>
      <c r="AW36" s="285">
        <v>12216196.6229</v>
      </c>
      <c r="AX36" s="285">
        <v>3993164.5646199994</v>
      </c>
      <c r="AY36" s="287">
        <v>44714594.88546</v>
      </c>
    </row>
    <row r="37" spans="1:51" ht="12.75">
      <c r="A37" s="64" t="s">
        <v>106</v>
      </c>
      <c r="B37" s="295">
        <v>0.6025969226769005</v>
      </c>
      <c r="C37" s="289">
        <v>0.5137243746277285</v>
      </c>
      <c r="D37" s="289">
        <v>2.080438836048445</v>
      </c>
      <c r="E37" s="289">
        <v>0.7833377015733816</v>
      </c>
      <c r="F37" s="289">
        <v>0.7296632092141958</v>
      </c>
      <c r="G37" s="289">
        <v>0.9636374363172627</v>
      </c>
      <c r="H37" s="289">
        <v>0.851654233795989</v>
      </c>
      <c r="I37" s="289">
        <v>0.6550747718675243</v>
      </c>
      <c r="J37" s="296">
        <v>0.8507593613387736</v>
      </c>
      <c r="K37" s="291">
        <v>38.739164</v>
      </c>
      <c r="L37" s="289"/>
      <c r="M37" s="66" t="s">
        <v>106</v>
      </c>
      <c r="N37" s="292">
        <v>0.8417763501250881</v>
      </c>
      <c r="O37" s="292">
        <v>0.6900517538815409</v>
      </c>
      <c r="P37" s="292">
        <v>0.9626056580035363</v>
      </c>
      <c r="Q37" s="292">
        <v>0.8881330747707652</v>
      </c>
      <c r="R37" s="292">
        <v>0.8228712636897291</v>
      </c>
      <c r="S37" s="292">
        <v>1.1143842784604054</v>
      </c>
      <c r="T37" s="292">
        <v>1.0752776044191334</v>
      </c>
      <c r="U37" s="292">
        <v>0.7803893362398499</v>
      </c>
      <c r="V37" s="308">
        <v>0.9335113228255508</v>
      </c>
      <c r="W37" s="111">
        <v>210</v>
      </c>
      <c r="X37" s="294"/>
      <c r="Y37" s="294"/>
      <c r="Z37" s="294"/>
      <c r="AE37" s="283" t="s">
        <v>109</v>
      </c>
      <c r="AF37" s="284">
        <v>4941087.810980002</v>
      </c>
      <c r="AG37" s="285">
        <v>7720037.117759997</v>
      </c>
      <c r="AH37" s="285">
        <v>9157542.766860018</v>
      </c>
      <c r="AI37" s="285">
        <v>19369281.74314</v>
      </c>
      <c r="AJ37" s="285">
        <v>69587061.31470017</v>
      </c>
      <c r="AK37" s="285">
        <v>85263599.54828</v>
      </c>
      <c r="AL37" s="285">
        <v>66015995.55727998</v>
      </c>
      <c r="AM37" s="285">
        <v>14144250.869449988</v>
      </c>
      <c r="AN37" s="285">
        <v>276198856.7284496</v>
      </c>
      <c r="AO37" s="309"/>
      <c r="AP37" s="189" t="s">
        <v>108</v>
      </c>
      <c r="AQ37" s="284">
        <v>789654.3573399999</v>
      </c>
      <c r="AR37" s="285">
        <v>1722439.5937800005</v>
      </c>
      <c r="AS37" s="285">
        <v>2779345.791299999</v>
      </c>
      <c r="AT37" s="285">
        <v>4384810.1176999975</v>
      </c>
      <c r="AU37" s="285">
        <v>10064156.179560006</v>
      </c>
      <c r="AV37" s="285">
        <v>11261516.315189987</v>
      </c>
      <c r="AW37" s="285">
        <v>16146898.820200002</v>
      </c>
      <c r="AX37" s="285">
        <v>4218872.49791</v>
      </c>
      <c r="AY37" s="287">
        <v>51367693.67297993</v>
      </c>
    </row>
    <row r="38" spans="1:51" ht="12.75">
      <c r="A38" s="64" t="s">
        <v>107</v>
      </c>
      <c r="B38" s="295">
        <v>0.15852876535851454</v>
      </c>
      <c r="C38" s="289">
        <v>0.41121660566735374</v>
      </c>
      <c r="D38" s="289">
        <v>0.5208373378422333</v>
      </c>
      <c r="E38" s="289">
        <v>0.7864017270733238</v>
      </c>
      <c r="F38" s="289">
        <v>1.083029448097393</v>
      </c>
      <c r="G38" s="289">
        <v>0.7874606223607143</v>
      </c>
      <c r="H38" s="289">
        <v>0.5695289798264859</v>
      </c>
      <c r="I38" s="289">
        <v>0.9156937914348052</v>
      </c>
      <c r="J38" s="296">
        <v>0.7731133892312432</v>
      </c>
      <c r="K38" s="291">
        <v>34.569452</v>
      </c>
      <c r="L38" s="289"/>
      <c r="M38" s="66" t="s">
        <v>107</v>
      </c>
      <c r="N38" s="292">
        <v>0.2384210802382303</v>
      </c>
      <c r="O38" s="292">
        <v>0.4555912435362993</v>
      </c>
      <c r="P38" s="292">
        <v>0.8414563927245278</v>
      </c>
      <c r="Q38" s="292">
        <v>0.8548998585392182</v>
      </c>
      <c r="R38" s="292">
        <v>1.080769021197033</v>
      </c>
      <c r="S38" s="292">
        <v>0.8841056402586345</v>
      </c>
      <c r="T38" s="292">
        <v>0.5927011447096511</v>
      </c>
      <c r="U38" s="292">
        <v>0.9380905126827797</v>
      </c>
      <c r="V38" s="308">
        <v>0.8217529510689265</v>
      </c>
      <c r="W38" s="111">
        <v>160</v>
      </c>
      <c r="X38" s="294"/>
      <c r="Y38" s="294"/>
      <c r="Z38" s="294"/>
      <c r="AE38" s="283" t="s">
        <v>110</v>
      </c>
      <c r="AF38" s="284">
        <v>9904740.74067</v>
      </c>
      <c r="AG38" s="285">
        <v>11325183.976000007</v>
      </c>
      <c r="AH38" s="285">
        <v>12545154.128050003</v>
      </c>
      <c r="AI38" s="285">
        <v>25181176.89971002</v>
      </c>
      <c r="AJ38" s="285">
        <v>86542391.39138015</v>
      </c>
      <c r="AK38" s="285">
        <v>94007178.66461988</v>
      </c>
      <c r="AL38" s="285">
        <v>50080063.84306001</v>
      </c>
      <c r="AM38" s="285">
        <v>5432935.53462</v>
      </c>
      <c r="AN38" s="285">
        <v>295018825.17811024</v>
      </c>
      <c r="AO38" s="309"/>
      <c r="AP38" s="189" t="s">
        <v>109</v>
      </c>
      <c r="AQ38" s="284">
        <v>810184.81057</v>
      </c>
      <c r="AR38" s="285">
        <v>1347819.5091300001</v>
      </c>
      <c r="AS38" s="285">
        <v>1279151.7092600001</v>
      </c>
      <c r="AT38" s="285">
        <v>2548535.8047300004</v>
      </c>
      <c r="AU38" s="285">
        <v>8707168.592269998</v>
      </c>
      <c r="AV38" s="285">
        <v>11419356.950260004</v>
      </c>
      <c r="AW38" s="285">
        <v>17166295.830889996</v>
      </c>
      <c r="AX38" s="285">
        <v>2392306.6328799995</v>
      </c>
      <c r="AY38" s="287">
        <v>45670819.839990005</v>
      </c>
    </row>
    <row r="39" spans="1:51" ht="12.75">
      <c r="A39" s="64" t="s">
        <v>108</v>
      </c>
      <c r="B39" s="295">
        <v>0.2532753705984888</v>
      </c>
      <c r="C39" s="289">
        <v>0.8998864201666598</v>
      </c>
      <c r="D39" s="289">
        <v>0.25185783006604046</v>
      </c>
      <c r="E39" s="289">
        <v>0.39910508163987296</v>
      </c>
      <c r="F39" s="289">
        <v>1.0754795341891457</v>
      </c>
      <c r="G39" s="289">
        <v>1.4014523940006143</v>
      </c>
      <c r="H39" s="289">
        <v>1.0601258601178243</v>
      </c>
      <c r="I39" s="289">
        <v>1.6012934743457412</v>
      </c>
      <c r="J39" s="296">
        <v>1.0644758814383404</v>
      </c>
      <c r="K39" s="291">
        <v>54.679671</v>
      </c>
      <c r="L39" s="289"/>
      <c r="M39" s="66" t="s">
        <v>108</v>
      </c>
      <c r="N39" s="292">
        <v>0.7048979836393179</v>
      </c>
      <c r="O39" s="292">
        <v>1.2136315091103274</v>
      </c>
      <c r="P39" s="292">
        <v>0.6039130546375241</v>
      </c>
      <c r="Q39" s="292">
        <v>0.754932972246605</v>
      </c>
      <c r="R39" s="292">
        <v>1.2056979429865629</v>
      </c>
      <c r="S39" s="292">
        <v>1.5024993808897635</v>
      </c>
      <c r="T39" s="292">
        <v>1.0705920390446566</v>
      </c>
      <c r="U39" s="292">
        <v>1.4657249383937494</v>
      </c>
      <c r="V39" s="308">
        <v>1.1869315632926563</v>
      </c>
      <c r="W39" s="111">
        <v>215</v>
      </c>
      <c r="X39" s="294"/>
      <c r="Y39" s="294"/>
      <c r="Z39" s="294"/>
      <c r="AE39" s="283" t="s">
        <v>111</v>
      </c>
      <c r="AF39" s="284">
        <v>16466607.353269992</v>
      </c>
      <c r="AG39" s="285">
        <v>20019081.795719992</v>
      </c>
      <c r="AH39" s="285">
        <v>19637380.05416</v>
      </c>
      <c r="AI39" s="285">
        <v>31437387.39238002</v>
      </c>
      <c r="AJ39" s="285">
        <v>98725404.75027</v>
      </c>
      <c r="AK39" s="285">
        <v>79445043.55753995</v>
      </c>
      <c r="AL39" s="285">
        <v>16338077.855470007</v>
      </c>
      <c r="AM39" s="285">
        <v>388583.26378</v>
      </c>
      <c r="AN39" s="285">
        <v>282457566.0225903</v>
      </c>
      <c r="AO39" s="309"/>
      <c r="AP39" s="189" t="s">
        <v>110</v>
      </c>
      <c r="AQ39" s="284">
        <v>1048499.4372700001</v>
      </c>
      <c r="AR39" s="285">
        <v>1545336.6528500004</v>
      </c>
      <c r="AS39" s="285">
        <v>1529948.5049999994</v>
      </c>
      <c r="AT39" s="285">
        <v>3129187.0476600006</v>
      </c>
      <c r="AU39" s="285">
        <v>10383161.218520004</v>
      </c>
      <c r="AV39" s="285">
        <v>9836661.285669995</v>
      </c>
      <c r="AW39" s="285">
        <v>10349101.993980002</v>
      </c>
      <c r="AX39" s="285">
        <v>864549.01377</v>
      </c>
      <c r="AY39" s="287">
        <v>38686445.15471998</v>
      </c>
    </row>
    <row r="40" spans="1:51" ht="12.75">
      <c r="A40" s="64" t="s">
        <v>109</v>
      </c>
      <c r="B40" s="295">
        <v>0.12342862849976868</v>
      </c>
      <c r="C40" s="289">
        <v>1.824665679151253</v>
      </c>
      <c r="D40" s="289">
        <v>0.66059404360163</v>
      </c>
      <c r="E40" s="289">
        <v>0.6731174805612516</v>
      </c>
      <c r="F40" s="289">
        <v>0.9241131505301725</v>
      </c>
      <c r="G40" s="289">
        <v>1.1763249067798127</v>
      </c>
      <c r="H40" s="289">
        <v>0.7642651699146329</v>
      </c>
      <c r="I40" s="289">
        <v>0.6541703218520902</v>
      </c>
      <c r="J40" s="296">
        <v>0.9039392142431276</v>
      </c>
      <c r="K40" s="291">
        <v>41.283645</v>
      </c>
      <c r="L40" s="289"/>
      <c r="M40" s="66" t="s">
        <v>109</v>
      </c>
      <c r="N40" s="292">
        <v>0.5325153896947621</v>
      </c>
      <c r="O40" s="292">
        <v>1.3415570782228394</v>
      </c>
      <c r="P40" s="292">
        <v>0.8421312658075057</v>
      </c>
      <c r="Q40" s="292">
        <v>1.174227123707176</v>
      </c>
      <c r="R40" s="292">
        <v>1.0549505555587886</v>
      </c>
      <c r="S40" s="292">
        <v>1.1131927816127274</v>
      </c>
      <c r="T40" s="292">
        <v>0.7123947285215264</v>
      </c>
      <c r="U40" s="292">
        <v>0.5871355251382078</v>
      </c>
      <c r="V40" s="308">
        <v>0.8909547806327157</v>
      </c>
      <c r="W40" s="111">
        <v>141</v>
      </c>
      <c r="X40" s="294"/>
      <c r="Y40" s="294"/>
      <c r="Z40" s="294"/>
      <c r="AE40" s="283" t="s">
        <v>112</v>
      </c>
      <c r="AF40" s="284">
        <v>12866217.021</v>
      </c>
      <c r="AG40" s="285">
        <v>19563280.084950015</v>
      </c>
      <c r="AH40" s="285">
        <v>22584776.054800015</v>
      </c>
      <c r="AI40" s="285">
        <v>40700429.616429985</v>
      </c>
      <c r="AJ40" s="285">
        <v>82834813.97803007</v>
      </c>
      <c r="AK40" s="285">
        <v>32713989.246200006</v>
      </c>
      <c r="AL40" s="285">
        <v>3816634.8047099994</v>
      </c>
      <c r="AM40" s="57">
        <v>399860.13965</v>
      </c>
      <c r="AN40" s="57">
        <v>215480000.9457702</v>
      </c>
      <c r="AO40" s="309"/>
      <c r="AP40" s="189" t="s">
        <v>111</v>
      </c>
      <c r="AQ40" s="284">
        <v>595853.0347200001</v>
      </c>
      <c r="AR40" s="285">
        <v>951790.7317800001</v>
      </c>
      <c r="AS40" s="285">
        <v>862509.7270900001</v>
      </c>
      <c r="AT40" s="285">
        <v>1466741.2889100006</v>
      </c>
      <c r="AU40" s="285">
        <v>6198490.893359997</v>
      </c>
      <c r="AV40" s="285">
        <v>5409497.114970001</v>
      </c>
      <c r="AW40" s="285">
        <v>3917144.6709500006</v>
      </c>
      <c r="AX40" s="285">
        <v>200193.23912</v>
      </c>
      <c r="AY40" s="287">
        <v>19602220.7009</v>
      </c>
    </row>
    <row r="41" spans="1:51" ht="12.75">
      <c r="A41" s="64" t="s">
        <v>110</v>
      </c>
      <c r="B41" s="295">
        <v>0</v>
      </c>
      <c r="C41" s="289">
        <v>0.3684252223940901</v>
      </c>
      <c r="D41" s="289">
        <v>0.28555274806455005</v>
      </c>
      <c r="E41" s="289">
        <v>0.7652594630898486</v>
      </c>
      <c r="F41" s="289">
        <v>1.4565192316406748</v>
      </c>
      <c r="G41" s="289">
        <v>1.3683796370633277</v>
      </c>
      <c r="H41" s="289">
        <v>0.7820937511977567</v>
      </c>
      <c r="I41" s="289">
        <v>1.1807277363589328</v>
      </c>
      <c r="J41" s="296">
        <v>1.062366620547084</v>
      </c>
      <c r="K41" s="291">
        <v>41.099188</v>
      </c>
      <c r="L41" s="289"/>
      <c r="M41" s="66" t="s">
        <v>110</v>
      </c>
      <c r="N41" s="292">
        <v>0</v>
      </c>
      <c r="O41" s="292">
        <v>1.405955628040379</v>
      </c>
      <c r="P41" s="292">
        <v>0.4073933749689363</v>
      </c>
      <c r="Q41" s="292">
        <v>1.262084458691976</v>
      </c>
      <c r="R41" s="292">
        <v>1.261075394653545</v>
      </c>
      <c r="S41" s="292">
        <v>1.1349421374578081</v>
      </c>
      <c r="T41" s="292">
        <v>0.8921084090138631</v>
      </c>
      <c r="U41" s="292">
        <v>1.2710221772186223</v>
      </c>
      <c r="V41" s="308">
        <v>1.047661559287941</v>
      </c>
      <c r="W41" s="111">
        <v>122</v>
      </c>
      <c r="X41" s="294"/>
      <c r="Y41" s="297"/>
      <c r="Z41" s="294"/>
      <c r="AE41" s="283" t="s">
        <v>113</v>
      </c>
      <c r="AF41" s="284">
        <v>2550806.2661800003</v>
      </c>
      <c r="AG41" s="285">
        <v>8885015.01311</v>
      </c>
      <c r="AH41" s="285">
        <v>13957085.331669997</v>
      </c>
      <c r="AI41" s="285">
        <v>20353687.175510004</v>
      </c>
      <c r="AJ41" s="285">
        <v>18651956.12057999</v>
      </c>
      <c r="AK41" s="285">
        <v>2378831.8727100003</v>
      </c>
      <c r="AL41" s="57">
        <v>317621.39017</v>
      </c>
      <c r="AM41" s="57"/>
      <c r="AN41" s="57">
        <v>67095003.16993</v>
      </c>
      <c r="AO41" s="309"/>
      <c r="AP41" s="189" t="s">
        <v>112</v>
      </c>
      <c r="AQ41" s="284">
        <v>363880.50042</v>
      </c>
      <c r="AR41" s="285">
        <v>472634.61854000005</v>
      </c>
      <c r="AS41" s="285">
        <v>821293.1329</v>
      </c>
      <c r="AT41" s="285">
        <v>1558334.05907</v>
      </c>
      <c r="AU41" s="285">
        <v>4530136.76265</v>
      </c>
      <c r="AV41" s="285">
        <v>703179.93374</v>
      </c>
      <c r="AW41" s="285">
        <v>2807065.27676</v>
      </c>
      <c r="AX41" s="285"/>
      <c r="AY41" s="287">
        <v>11256524.28408</v>
      </c>
    </row>
    <row r="42" spans="1:51" ht="12.75">
      <c r="A42" s="64" t="s">
        <v>111</v>
      </c>
      <c r="B42" s="295">
        <v>0</v>
      </c>
      <c r="C42" s="289">
        <v>0.24439300807750086</v>
      </c>
      <c r="D42" s="289">
        <v>0</v>
      </c>
      <c r="E42" s="289">
        <v>0.3920255087571086</v>
      </c>
      <c r="F42" s="289">
        <v>1.2287524707278212</v>
      </c>
      <c r="G42" s="289">
        <v>1.1031506022040083</v>
      </c>
      <c r="H42" s="289">
        <v>1.3453935053978683</v>
      </c>
      <c r="I42" s="289">
        <v>0.9990347370328316</v>
      </c>
      <c r="J42" s="296">
        <v>1.0132328016839485</v>
      </c>
      <c r="K42" s="291">
        <v>19.861613</v>
      </c>
      <c r="L42" s="289"/>
      <c r="M42" s="66" t="s">
        <v>111</v>
      </c>
      <c r="N42" s="292">
        <v>0</v>
      </c>
      <c r="O42" s="292">
        <v>1.1369127135264188</v>
      </c>
      <c r="P42" s="292">
        <v>0</v>
      </c>
      <c r="Q42" s="292">
        <v>1.3055682485801945</v>
      </c>
      <c r="R42" s="292">
        <v>1.1470504315060341</v>
      </c>
      <c r="S42" s="292">
        <v>0.9180315829093992</v>
      </c>
      <c r="T42" s="292">
        <v>1.2737545864530955</v>
      </c>
      <c r="U42" s="292">
        <v>0.702439572635764</v>
      </c>
      <c r="V42" s="308">
        <v>1.050042089187075</v>
      </c>
      <c r="W42" s="111">
        <v>54</v>
      </c>
      <c r="X42" s="294"/>
      <c r="AE42" s="283" t="s">
        <v>114</v>
      </c>
      <c r="AF42" s="284">
        <v>42339.34357</v>
      </c>
      <c r="AG42" s="57">
        <v>397504.44882</v>
      </c>
      <c r="AH42" s="285">
        <v>430474.04226</v>
      </c>
      <c r="AI42" s="285">
        <v>790062.87773</v>
      </c>
      <c r="AJ42" s="285">
        <v>87389.92392</v>
      </c>
      <c r="AK42" s="58">
        <v>277550.2576</v>
      </c>
      <c r="AL42" s="57"/>
      <c r="AM42" s="57"/>
      <c r="AN42" s="57">
        <v>2025320.8938999998</v>
      </c>
      <c r="AO42" s="309"/>
      <c r="AP42" s="189" t="s">
        <v>113</v>
      </c>
      <c r="AQ42" s="284">
        <v>28465.2005</v>
      </c>
      <c r="AR42" s="285">
        <v>80778.46204999999</v>
      </c>
      <c r="AS42" s="285">
        <v>200778.26167000004</v>
      </c>
      <c r="AT42" s="285">
        <v>827044.5555200002</v>
      </c>
      <c r="AU42" s="285">
        <v>157262.02550999998</v>
      </c>
      <c r="AV42" s="285">
        <v>23301.76462</v>
      </c>
      <c r="AW42" s="285"/>
      <c r="AX42" s="285"/>
      <c r="AY42" s="287">
        <v>1317630.2698700004</v>
      </c>
    </row>
    <row r="43" spans="1:51" ht="12.75">
      <c r="A43" s="64" t="s">
        <v>112</v>
      </c>
      <c r="B43" s="295">
        <v>0</v>
      </c>
      <c r="C43" s="289">
        <v>2.7505391035802393</v>
      </c>
      <c r="D43" s="289">
        <v>0.35979845461094323</v>
      </c>
      <c r="E43" s="289">
        <v>0.6983656640665865</v>
      </c>
      <c r="F43" s="289">
        <v>0.6058945113158967</v>
      </c>
      <c r="G43" s="289">
        <v>0.39412387456220016</v>
      </c>
      <c r="H43" s="289">
        <v>2.413552707908493</v>
      </c>
      <c r="I43" s="289"/>
      <c r="J43" s="296">
        <v>1.1087536156832496</v>
      </c>
      <c r="K43" s="291">
        <v>12.480712</v>
      </c>
      <c r="L43" s="289"/>
      <c r="M43" s="66" t="s">
        <v>112</v>
      </c>
      <c r="N43" s="292">
        <v>0</v>
      </c>
      <c r="O43" s="292">
        <v>2.0422333864314015</v>
      </c>
      <c r="P43" s="292">
        <v>2.0941969801679545</v>
      </c>
      <c r="Q43" s="292">
        <v>1.8959143046734286</v>
      </c>
      <c r="R43" s="292">
        <v>0.8137689709891361</v>
      </c>
      <c r="S43" s="292">
        <v>0.5311139850278966</v>
      </c>
      <c r="T43" s="292">
        <v>1.0517127141550013</v>
      </c>
      <c r="U43" s="292"/>
      <c r="V43" s="308">
        <v>1.0120530457483399</v>
      </c>
      <c r="W43" s="111">
        <v>20</v>
      </c>
      <c r="X43" s="297"/>
      <c r="AE43" s="299" t="s">
        <v>122</v>
      </c>
      <c r="AF43" s="300">
        <v>112675270.46890017</v>
      </c>
      <c r="AG43" s="301">
        <v>156090223.92837033</v>
      </c>
      <c r="AH43" s="301">
        <v>180604140.59975967</v>
      </c>
      <c r="AI43" s="301">
        <v>354391587.2712593</v>
      </c>
      <c r="AJ43" s="301">
        <v>841709215.3204345</v>
      </c>
      <c r="AK43" s="301">
        <v>604373715.6186302</v>
      </c>
      <c r="AL43" s="301">
        <v>403623492.06101084</v>
      </c>
      <c r="AM43" s="301">
        <v>125612247.44138005</v>
      </c>
      <c r="AN43" s="298">
        <v>2779079892.709742</v>
      </c>
      <c r="AO43" s="309"/>
      <c r="AP43" s="189" t="s">
        <v>122</v>
      </c>
      <c r="AQ43" s="284">
        <v>12841987.295010012</v>
      </c>
      <c r="AR43" s="285">
        <v>17681346.683859996</v>
      </c>
      <c r="AS43" s="285">
        <v>20068726.878669996</v>
      </c>
      <c r="AT43" s="285">
        <v>42510131.258189954</v>
      </c>
      <c r="AU43" s="285">
        <v>110093799.81365032</v>
      </c>
      <c r="AV43" s="285">
        <v>96308401.44657</v>
      </c>
      <c r="AW43" s="285">
        <v>108851020.81703012</v>
      </c>
      <c r="AX43" s="285">
        <v>29104508.846990045</v>
      </c>
      <c r="AY43" s="287">
        <v>437459923.03997004</v>
      </c>
    </row>
    <row r="44" spans="1:51" ht="13.5" thickBot="1">
      <c r="A44" s="65" t="s">
        <v>113</v>
      </c>
      <c r="B44" s="303">
        <v>0</v>
      </c>
      <c r="C44" s="304">
        <v>4.951814999305251</v>
      </c>
      <c r="D44" s="304">
        <v>0</v>
      </c>
      <c r="E44" s="304">
        <v>1.9611531073802917</v>
      </c>
      <c r="F44" s="304">
        <v>0</v>
      </c>
      <c r="G44" s="304">
        <v>4.662222015012355</v>
      </c>
      <c r="H44" s="304"/>
      <c r="I44" s="304"/>
      <c r="J44" s="305">
        <v>1.6169930584626055</v>
      </c>
      <c r="K44" s="291">
        <v>2.130599</v>
      </c>
      <c r="L44" s="289"/>
      <c r="M44" s="66" t="s">
        <v>113</v>
      </c>
      <c r="N44" s="292">
        <v>0</v>
      </c>
      <c r="O44" s="292">
        <v>2.5745327223109005</v>
      </c>
      <c r="P44" s="292">
        <v>0</v>
      </c>
      <c r="Q44" s="292">
        <v>1.056948378641187</v>
      </c>
      <c r="R44" s="292">
        <v>0</v>
      </c>
      <c r="S44" s="292">
        <v>4.662222015012355</v>
      </c>
      <c r="T44" s="292"/>
      <c r="U44" s="292"/>
      <c r="V44" s="317">
        <v>1.0848222518740305</v>
      </c>
      <c r="W44" s="111">
        <v>4</v>
      </c>
      <c r="AE44" s="186"/>
      <c r="AF44" s="186"/>
      <c r="AG44" s="186"/>
      <c r="AH44" s="186"/>
      <c r="AI44" s="186"/>
      <c r="AJ44" s="186"/>
      <c r="AK44" s="186"/>
      <c r="AL44" s="186"/>
      <c r="AM44" s="186"/>
      <c r="AN44" s="186"/>
      <c r="AO44" s="315"/>
      <c r="AP44" s="299"/>
      <c r="AQ44" s="300"/>
      <c r="AR44" s="301"/>
      <c r="AS44" s="301"/>
      <c r="AT44" s="301"/>
      <c r="AU44" s="301"/>
      <c r="AV44" s="301"/>
      <c r="AW44" s="301"/>
      <c r="AX44" s="301"/>
      <c r="AY44" s="302"/>
    </row>
    <row r="45" spans="1:51" ht="13.5" thickTop="1">
      <c r="A45" s="84" t="s">
        <v>84</v>
      </c>
      <c r="B45" s="82">
        <v>0.3842863169563784</v>
      </c>
      <c r="C45" s="82">
        <v>0.7380602978568533</v>
      </c>
      <c r="D45" s="82">
        <v>0.7519554723742452</v>
      </c>
      <c r="E45" s="82">
        <v>0.7613380867593685</v>
      </c>
      <c r="F45" s="82">
        <v>0.977405187050855</v>
      </c>
      <c r="G45" s="82">
        <v>1.0200339692534541</v>
      </c>
      <c r="H45" s="82">
        <v>0.8889749060108093</v>
      </c>
      <c r="I45" s="82">
        <v>0.9677009204335965</v>
      </c>
      <c r="J45" s="87">
        <v>0.9057164511131652</v>
      </c>
      <c r="K45" s="74"/>
      <c r="L45" s="74"/>
      <c r="M45" s="77" t="s">
        <v>84</v>
      </c>
      <c r="N45" s="81">
        <v>0.6447600052144958</v>
      </c>
      <c r="O45" s="81">
        <v>0.8234279936173846</v>
      </c>
      <c r="P45" s="81">
        <v>0.8750606665193448</v>
      </c>
      <c r="Q45" s="81">
        <v>0.9776546592000221</v>
      </c>
      <c r="R45" s="81">
        <v>0.998283155464113</v>
      </c>
      <c r="S45" s="81">
        <v>1.0130380467440432</v>
      </c>
      <c r="T45" s="81">
        <v>0.9082077612313887</v>
      </c>
      <c r="U45" s="81">
        <v>0.9930585209386393</v>
      </c>
      <c r="V45" s="87">
        <v>0.9565204649131233</v>
      </c>
      <c r="AE45" s="276" t="s">
        <v>121</v>
      </c>
      <c r="AF45" s="276" t="s">
        <v>115</v>
      </c>
      <c r="AG45" s="278" t="s">
        <v>116</v>
      </c>
      <c r="AH45" s="278" t="s">
        <v>117</v>
      </c>
      <c r="AI45" s="278" t="s">
        <v>118</v>
      </c>
      <c r="AJ45" s="278" t="s">
        <v>119</v>
      </c>
      <c r="AK45" s="278" t="s">
        <v>34</v>
      </c>
      <c r="AL45" s="278" t="s">
        <v>35</v>
      </c>
      <c r="AM45" s="278" t="s">
        <v>36</v>
      </c>
      <c r="AN45" s="278" t="s">
        <v>122</v>
      </c>
      <c r="AO45" s="312"/>
      <c r="AP45" s="276" t="s">
        <v>124</v>
      </c>
      <c r="AQ45" s="276" t="s">
        <v>28</v>
      </c>
      <c r="AR45" s="277"/>
      <c r="AS45" s="277"/>
      <c r="AT45" s="277"/>
      <c r="AU45" s="277"/>
      <c r="AV45" s="277"/>
      <c r="AW45" s="277"/>
      <c r="AX45" s="277"/>
      <c r="AY45" s="279"/>
    </row>
    <row r="46" spans="10:51" ht="12.75">
      <c r="J46" s="85"/>
      <c r="V46" s="85"/>
      <c r="AE46" s="276" t="s">
        <v>16</v>
      </c>
      <c r="AF46" s="280">
        <v>8</v>
      </c>
      <c r="AG46" s="281">
        <v>7</v>
      </c>
      <c r="AH46" s="281">
        <v>4</v>
      </c>
      <c r="AI46" s="281">
        <v>16</v>
      </c>
      <c r="AJ46" s="281">
        <v>30</v>
      </c>
      <c r="AK46" s="281">
        <v>23</v>
      </c>
      <c r="AL46" s="281">
        <v>23</v>
      </c>
      <c r="AM46" s="281">
        <v>7</v>
      </c>
      <c r="AN46" s="281">
        <v>118</v>
      </c>
      <c r="AO46" s="312"/>
      <c r="AP46" s="276" t="s">
        <v>121</v>
      </c>
      <c r="AQ46" s="276" t="s">
        <v>115</v>
      </c>
      <c r="AR46" s="278" t="s">
        <v>116</v>
      </c>
      <c r="AS46" s="278" t="s">
        <v>117</v>
      </c>
      <c r="AT46" s="278" t="s">
        <v>118</v>
      </c>
      <c r="AU46" s="278" t="s">
        <v>119</v>
      </c>
      <c r="AV46" s="278" t="s">
        <v>34</v>
      </c>
      <c r="AW46" s="278" t="s">
        <v>35</v>
      </c>
      <c r="AX46" s="278" t="s">
        <v>36</v>
      </c>
      <c r="AY46" s="282" t="s">
        <v>122</v>
      </c>
    </row>
    <row r="47" spans="1:51" ht="12.75">
      <c r="A47" s="114" t="s">
        <v>266</v>
      </c>
      <c r="AE47" s="283" t="s">
        <v>17</v>
      </c>
      <c r="AF47" s="284">
        <v>11</v>
      </c>
      <c r="AG47" s="285">
        <v>12</v>
      </c>
      <c r="AH47" s="285">
        <v>13</v>
      </c>
      <c r="AI47" s="285">
        <v>33</v>
      </c>
      <c r="AJ47" s="285">
        <v>124</v>
      </c>
      <c r="AK47" s="285">
        <v>114</v>
      </c>
      <c r="AL47" s="285">
        <v>96</v>
      </c>
      <c r="AM47" s="285">
        <v>47</v>
      </c>
      <c r="AN47" s="285">
        <v>450</v>
      </c>
      <c r="AO47" s="312"/>
      <c r="AP47" s="276" t="s">
        <v>16</v>
      </c>
      <c r="AQ47" s="280">
        <v>4</v>
      </c>
      <c r="AR47" s="281">
        <v>0</v>
      </c>
      <c r="AS47" s="281">
        <v>2</v>
      </c>
      <c r="AT47" s="281">
        <v>4</v>
      </c>
      <c r="AU47" s="281">
        <v>6</v>
      </c>
      <c r="AV47" s="281">
        <v>4</v>
      </c>
      <c r="AW47" s="281">
        <v>5</v>
      </c>
      <c r="AX47" s="281">
        <v>1</v>
      </c>
      <c r="AY47" s="286">
        <v>26</v>
      </c>
    </row>
    <row r="48" spans="31:51" ht="12.75">
      <c r="AE48" s="283" t="s">
        <v>18</v>
      </c>
      <c r="AF48" s="284">
        <v>15</v>
      </c>
      <c r="AG48" s="285">
        <v>31</v>
      </c>
      <c r="AH48" s="285">
        <v>28</v>
      </c>
      <c r="AI48" s="285">
        <v>82</v>
      </c>
      <c r="AJ48" s="285">
        <v>233</v>
      </c>
      <c r="AK48" s="285">
        <v>205</v>
      </c>
      <c r="AL48" s="285">
        <v>205</v>
      </c>
      <c r="AM48" s="285">
        <v>87</v>
      </c>
      <c r="AN48" s="285">
        <v>886</v>
      </c>
      <c r="AO48" s="313"/>
      <c r="AP48" s="283" t="s">
        <v>17</v>
      </c>
      <c r="AQ48" s="284">
        <v>2</v>
      </c>
      <c r="AR48" s="285">
        <v>3</v>
      </c>
      <c r="AS48" s="285">
        <v>6</v>
      </c>
      <c r="AT48" s="285">
        <v>7</v>
      </c>
      <c r="AU48" s="285">
        <v>12</v>
      </c>
      <c r="AV48" s="285">
        <v>11</v>
      </c>
      <c r="AW48" s="285">
        <v>17</v>
      </c>
      <c r="AX48" s="285">
        <v>7</v>
      </c>
      <c r="AY48" s="287">
        <v>65</v>
      </c>
    </row>
    <row r="49" spans="31:51" ht="12.75">
      <c r="AE49" s="283" t="s">
        <v>19</v>
      </c>
      <c r="AF49" s="284">
        <v>29</v>
      </c>
      <c r="AG49" s="285">
        <v>38</v>
      </c>
      <c r="AH49" s="285">
        <v>40</v>
      </c>
      <c r="AI49" s="285">
        <v>132</v>
      </c>
      <c r="AJ49" s="285">
        <v>299</v>
      </c>
      <c r="AK49" s="285">
        <v>281</v>
      </c>
      <c r="AL49" s="285">
        <v>243</v>
      </c>
      <c r="AM49" s="285">
        <v>97</v>
      </c>
      <c r="AN49" s="285">
        <v>1159</v>
      </c>
      <c r="AO49" s="313"/>
      <c r="AP49" s="283" t="s">
        <v>18</v>
      </c>
      <c r="AQ49" s="284">
        <v>1</v>
      </c>
      <c r="AR49" s="285">
        <v>4</v>
      </c>
      <c r="AS49" s="285">
        <v>5</v>
      </c>
      <c r="AT49" s="285">
        <v>12</v>
      </c>
      <c r="AU49" s="285">
        <v>27</v>
      </c>
      <c r="AV49" s="285">
        <v>44</v>
      </c>
      <c r="AW49" s="285">
        <v>37</v>
      </c>
      <c r="AX49" s="285">
        <v>19</v>
      </c>
      <c r="AY49" s="287">
        <v>149</v>
      </c>
    </row>
    <row r="50" spans="31:51" ht="12.75">
      <c r="AE50" s="283" t="s">
        <v>104</v>
      </c>
      <c r="AF50" s="284">
        <v>19</v>
      </c>
      <c r="AG50" s="285">
        <v>26</v>
      </c>
      <c r="AH50" s="285">
        <v>60</v>
      </c>
      <c r="AI50" s="285">
        <v>158</v>
      </c>
      <c r="AJ50" s="285">
        <v>313</v>
      </c>
      <c r="AK50" s="285">
        <v>262</v>
      </c>
      <c r="AL50" s="285">
        <v>219</v>
      </c>
      <c r="AM50" s="285">
        <v>69</v>
      </c>
      <c r="AN50" s="285">
        <v>1126</v>
      </c>
      <c r="AO50" s="313"/>
      <c r="AP50" s="283" t="s">
        <v>19</v>
      </c>
      <c r="AQ50" s="284">
        <v>2</v>
      </c>
      <c r="AR50" s="285">
        <v>4</v>
      </c>
      <c r="AS50" s="285">
        <v>8</v>
      </c>
      <c r="AT50" s="285">
        <v>15</v>
      </c>
      <c r="AU50" s="285">
        <v>68</v>
      </c>
      <c r="AV50" s="285">
        <v>67</v>
      </c>
      <c r="AW50" s="285">
        <v>52</v>
      </c>
      <c r="AX50" s="285">
        <v>22</v>
      </c>
      <c r="AY50" s="287">
        <v>238</v>
      </c>
    </row>
    <row r="51" spans="31:51" ht="12.75">
      <c r="AE51" s="283" t="s">
        <v>105</v>
      </c>
      <c r="AF51" s="284">
        <v>23</v>
      </c>
      <c r="AG51" s="285">
        <v>30</v>
      </c>
      <c r="AH51" s="285">
        <v>60</v>
      </c>
      <c r="AI51" s="285">
        <v>141</v>
      </c>
      <c r="AJ51" s="285">
        <v>344</v>
      </c>
      <c r="AK51" s="285">
        <v>201</v>
      </c>
      <c r="AL51" s="285">
        <v>168</v>
      </c>
      <c r="AM51" s="285">
        <v>40</v>
      </c>
      <c r="AN51" s="285">
        <v>1007</v>
      </c>
      <c r="AO51" s="313"/>
      <c r="AP51" s="283" t="s">
        <v>104</v>
      </c>
      <c r="AQ51" s="284">
        <v>5</v>
      </c>
      <c r="AR51" s="285">
        <v>8</v>
      </c>
      <c r="AS51" s="285">
        <v>8</v>
      </c>
      <c r="AT51" s="285">
        <v>29</v>
      </c>
      <c r="AU51" s="285">
        <v>86</v>
      </c>
      <c r="AV51" s="285">
        <v>44</v>
      </c>
      <c r="AW51" s="285">
        <v>52</v>
      </c>
      <c r="AX51" s="285">
        <v>21</v>
      </c>
      <c r="AY51" s="287">
        <v>253</v>
      </c>
    </row>
    <row r="52" spans="31:51" ht="12.75">
      <c r="AE52" s="283" t="s">
        <v>106</v>
      </c>
      <c r="AF52" s="284">
        <v>23</v>
      </c>
      <c r="AG52" s="285">
        <v>37</v>
      </c>
      <c r="AH52" s="285">
        <v>59</v>
      </c>
      <c r="AI52" s="285">
        <v>131</v>
      </c>
      <c r="AJ52" s="285">
        <v>286</v>
      </c>
      <c r="AK52" s="285">
        <v>129</v>
      </c>
      <c r="AL52" s="285">
        <v>127</v>
      </c>
      <c r="AM52" s="285">
        <v>59</v>
      </c>
      <c r="AN52" s="285">
        <v>851</v>
      </c>
      <c r="AO52" s="313"/>
      <c r="AP52" s="283" t="s">
        <v>105</v>
      </c>
      <c r="AQ52" s="284">
        <v>9</v>
      </c>
      <c r="AR52" s="285">
        <v>9</v>
      </c>
      <c r="AS52" s="285">
        <v>11</v>
      </c>
      <c r="AT52" s="285">
        <v>32</v>
      </c>
      <c r="AU52" s="285">
        <v>72</v>
      </c>
      <c r="AV52" s="285">
        <v>61</v>
      </c>
      <c r="AW52" s="285">
        <v>65</v>
      </c>
      <c r="AX52" s="285">
        <v>24</v>
      </c>
      <c r="AY52" s="287">
        <v>283</v>
      </c>
    </row>
    <row r="53" spans="31:51" ht="12.75">
      <c r="AE53" s="283" t="s">
        <v>107</v>
      </c>
      <c r="AF53" s="284">
        <v>18</v>
      </c>
      <c r="AG53" s="285">
        <v>33</v>
      </c>
      <c r="AH53" s="285">
        <v>53</v>
      </c>
      <c r="AI53" s="285">
        <v>98</v>
      </c>
      <c r="AJ53" s="285">
        <v>176</v>
      </c>
      <c r="AK53" s="285">
        <v>119</v>
      </c>
      <c r="AL53" s="285">
        <v>145</v>
      </c>
      <c r="AM53" s="285">
        <v>86</v>
      </c>
      <c r="AN53" s="285">
        <v>728</v>
      </c>
      <c r="AO53" s="313"/>
      <c r="AP53" s="283" t="s">
        <v>106</v>
      </c>
      <c r="AQ53" s="284">
        <v>5</v>
      </c>
      <c r="AR53" s="285">
        <v>6</v>
      </c>
      <c r="AS53" s="285">
        <v>10</v>
      </c>
      <c r="AT53" s="285">
        <v>23</v>
      </c>
      <c r="AU53" s="285">
        <v>52</v>
      </c>
      <c r="AV53" s="285">
        <v>46</v>
      </c>
      <c r="AW53" s="285">
        <v>50</v>
      </c>
      <c r="AX53" s="285">
        <v>18</v>
      </c>
      <c r="AY53" s="287">
        <v>210</v>
      </c>
    </row>
    <row r="54" spans="31:51" ht="12.75">
      <c r="AE54" s="283" t="s">
        <v>108</v>
      </c>
      <c r="AF54" s="284">
        <v>13</v>
      </c>
      <c r="AG54" s="285">
        <v>30</v>
      </c>
      <c r="AH54" s="285">
        <v>36</v>
      </c>
      <c r="AI54" s="285">
        <v>63</v>
      </c>
      <c r="AJ54" s="285">
        <v>144</v>
      </c>
      <c r="AK54" s="285">
        <v>179</v>
      </c>
      <c r="AL54" s="285">
        <v>192</v>
      </c>
      <c r="AM54" s="285">
        <v>93</v>
      </c>
      <c r="AN54" s="285">
        <v>750</v>
      </c>
      <c r="AO54" s="313"/>
      <c r="AP54" s="283" t="s">
        <v>107</v>
      </c>
      <c r="AQ54" s="284">
        <v>1</v>
      </c>
      <c r="AR54" s="285">
        <v>3</v>
      </c>
      <c r="AS54" s="285">
        <v>7</v>
      </c>
      <c r="AT54" s="285">
        <v>17</v>
      </c>
      <c r="AU54" s="285">
        <v>48</v>
      </c>
      <c r="AV54" s="285">
        <v>29</v>
      </c>
      <c r="AW54" s="285">
        <v>32</v>
      </c>
      <c r="AX54" s="285">
        <v>23</v>
      </c>
      <c r="AY54" s="287">
        <v>160</v>
      </c>
    </row>
    <row r="55" spans="31:51" ht="12.75">
      <c r="AE55" s="283" t="s">
        <v>109</v>
      </c>
      <c r="AF55" s="284">
        <v>8</v>
      </c>
      <c r="AG55" s="285">
        <v>11</v>
      </c>
      <c r="AH55" s="285">
        <v>23</v>
      </c>
      <c r="AI55" s="285">
        <v>61</v>
      </c>
      <c r="AJ55" s="285">
        <v>189</v>
      </c>
      <c r="AK55" s="285">
        <v>286</v>
      </c>
      <c r="AL55" s="285">
        <v>272</v>
      </c>
      <c r="AM55" s="285">
        <v>73</v>
      </c>
      <c r="AN55" s="285">
        <v>923</v>
      </c>
      <c r="AO55" s="313"/>
      <c r="AP55" s="283" t="s">
        <v>108</v>
      </c>
      <c r="AQ55" s="284">
        <v>2</v>
      </c>
      <c r="AR55" s="285">
        <v>6</v>
      </c>
      <c r="AS55" s="285">
        <v>4</v>
      </c>
      <c r="AT55" s="285">
        <v>11</v>
      </c>
      <c r="AU55" s="285">
        <v>39</v>
      </c>
      <c r="AV55" s="285">
        <v>56</v>
      </c>
      <c r="AW55" s="285">
        <v>65</v>
      </c>
      <c r="AX55" s="285">
        <v>32</v>
      </c>
      <c r="AY55" s="287">
        <v>215</v>
      </c>
    </row>
    <row r="56" spans="31:51" ht="12.75">
      <c r="AE56" s="283" t="s">
        <v>110</v>
      </c>
      <c r="AF56" s="284">
        <v>9</v>
      </c>
      <c r="AG56" s="285">
        <v>19</v>
      </c>
      <c r="AH56" s="285">
        <v>24</v>
      </c>
      <c r="AI56" s="285">
        <v>51</v>
      </c>
      <c r="AJ56" s="285">
        <v>199</v>
      </c>
      <c r="AK56" s="285">
        <v>344</v>
      </c>
      <c r="AL56" s="285">
        <v>198</v>
      </c>
      <c r="AM56" s="285">
        <v>31</v>
      </c>
      <c r="AN56" s="285">
        <v>875</v>
      </c>
      <c r="AO56" s="313"/>
      <c r="AP56" s="283" t="s">
        <v>109</v>
      </c>
      <c r="AQ56" s="284">
        <v>1</v>
      </c>
      <c r="AR56" s="285">
        <v>4</v>
      </c>
      <c r="AS56" s="285">
        <v>3</v>
      </c>
      <c r="AT56" s="285">
        <v>10</v>
      </c>
      <c r="AU56" s="285">
        <v>29</v>
      </c>
      <c r="AV56" s="285">
        <v>40</v>
      </c>
      <c r="AW56" s="285">
        <v>47</v>
      </c>
      <c r="AX56" s="285">
        <v>7</v>
      </c>
      <c r="AY56" s="287">
        <v>141</v>
      </c>
    </row>
    <row r="57" spans="31:51" ht="12.75">
      <c r="AE57" s="283" t="s">
        <v>111</v>
      </c>
      <c r="AF57" s="284">
        <v>9</v>
      </c>
      <c r="AG57" s="285">
        <v>14</v>
      </c>
      <c r="AH57" s="285">
        <v>24</v>
      </c>
      <c r="AI57" s="285">
        <v>53</v>
      </c>
      <c r="AJ57" s="285">
        <v>224</v>
      </c>
      <c r="AK57" s="285">
        <v>203</v>
      </c>
      <c r="AL57" s="285">
        <v>75</v>
      </c>
      <c r="AM57" s="285">
        <v>5</v>
      </c>
      <c r="AN57" s="285">
        <v>607</v>
      </c>
      <c r="AO57" s="313"/>
      <c r="AP57" s="283" t="s">
        <v>110</v>
      </c>
      <c r="AQ57" s="284">
        <v>0</v>
      </c>
      <c r="AR57" s="285">
        <v>3</v>
      </c>
      <c r="AS57" s="285">
        <v>1</v>
      </c>
      <c r="AT57" s="285">
        <v>7</v>
      </c>
      <c r="AU57" s="285">
        <v>30</v>
      </c>
      <c r="AV57" s="285">
        <v>32</v>
      </c>
      <c r="AW57" s="285">
        <v>43</v>
      </c>
      <c r="AX57" s="285">
        <v>6</v>
      </c>
      <c r="AY57" s="287">
        <v>122</v>
      </c>
    </row>
    <row r="58" spans="31:51" ht="12.75">
      <c r="AE58" s="283" t="s">
        <v>112</v>
      </c>
      <c r="AF58" s="284">
        <v>7</v>
      </c>
      <c r="AG58" s="285">
        <v>20</v>
      </c>
      <c r="AH58" s="285">
        <v>25</v>
      </c>
      <c r="AI58" s="285">
        <v>52</v>
      </c>
      <c r="AJ58" s="285">
        <v>148</v>
      </c>
      <c r="AK58" s="285">
        <v>75</v>
      </c>
      <c r="AL58" s="285">
        <v>10</v>
      </c>
      <c r="AM58" s="285">
        <v>1</v>
      </c>
      <c r="AN58" s="285">
        <v>338</v>
      </c>
      <c r="AO58" s="313"/>
      <c r="AP58" s="283" t="s">
        <v>111</v>
      </c>
      <c r="AQ58" s="284">
        <v>0</v>
      </c>
      <c r="AR58" s="285">
        <v>2</v>
      </c>
      <c r="AS58" s="285">
        <v>0</v>
      </c>
      <c r="AT58" s="285">
        <v>4</v>
      </c>
      <c r="AU58" s="285">
        <v>16</v>
      </c>
      <c r="AV58" s="285">
        <v>14</v>
      </c>
      <c r="AW58" s="285">
        <v>17</v>
      </c>
      <c r="AX58" s="285">
        <v>1</v>
      </c>
      <c r="AY58" s="287">
        <v>54</v>
      </c>
    </row>
    <row r="59" spans="31:51" ht="12.75">
      <c r="AE59" s="283" t="s">
        <v>113</v>
      </c>
      <c r="AF59" s="284">
        <v>0</v>
      </c>
      <c r="AG59" s="285">
        <v>5</v>
      </c>
      <c r="AH59" s="285">
        <v>5</v>
      </c>
      <c r="AI59" s="285">
        <v>9</v>
      </c>
      <c r="AJ59" s="285">
        <v>34</v>
      </c>
      <c r="AK59" s="285">
        <v>11</v>
      </c>
      <c r="AL59" s="285">
        <v>1</v>
      </c>
      <c r="AM59" s="285"/>
      <c r="AN59" s="285">
        <v>65</v>
      </c>
      <c r="AO59" s="313"/>
      <c r="AP59" s="283" t="s">
        <v>112</v>
      </c>
      <c r="AQ59" s="284">
        <v>0</v>
      </c>
      <c r="AR59" s="285">
        <v>2</v>
      </c>
      <c r="AS59" s="285">
        <v>2</v>
      </c>
      <c r="AT59" s="285">
        <v>5</v>
      </c>
      <c r="AU59" s="285">
        <v>8</v>
      </c>
      <c r="AV59" s="285">
        <v>2</v>
      </c>
      <c r="AW59" s="285">
        <v>1</v>
      </c>
      <c r="AX59" s="285"/>
      <c r="AY59" s="287">
        <v>20</v>
      </c>
    </row>
    <row r="60" spans="31:51" ht="12.75">
      <c r="AE60" s="283" t="s">
        <v>114</v>
      </c>
      <c r="AF60" s="284">
        <v>0</v>
      </c>
      <c r="AG60" s="285">
        <v>0</v>
      </c>
      <c r="AH60" s="285">
        <v>1</v>
      </c>
      <c r="AI60" s="285">
        <v>2</v>
      </c>
      <c r="AJ60" s="285">
        <v>0</v>
      </c>
      <c r="AK60" s="285">
        <v>2</v>
      </c>
      <c r="AL60" s="285"/>
      <c r="AM60" s="285"/>
      <c r="AN60" s="285">
        <v>5</v>
      </c>
      <c r="AO60" s="313"/>
      <c r="AP60" s="283" t="s">
        <v>113</v>
      </c>
      <c r="AQ60" s="284">
        <v>0</v>
      </c>
      <c r="AR60" s="285">
        <v>1</v>
      </c>
      <c r="AS60" s="285">
        <v>0</v>
      </c>
      <c r="AT60" s="285">
        <v>2</v>
      </c>
      <c r="AU60" s="285">
        <v>0</v>
      </c>
      <c r="AV60" s="285">
        <v>1</v>
      </c>
      <c r="AW60" s="285"/>
      <c r="AX60" s="285"/>
      <c r="AY60" s="287">
        <v>4</v>
      </c>
    </row>
    <row r="61" spans="31:51" ht="12.75">
      <c r="AE61" s="299" t="s">
        <v>122</v>
      </c>
      <c r="AF61" s="300">
        <v>192</v>
      </c>
      <c r="AG61" s="301">
        <v>313</v>
      </c>
      <c r="AH61" s="301">
        <v>455</v>
      </c>
      <c r="AI61" s="301">
        <v>1082</v>
      </c>
      <c r="AJ61" s="301">
        <v>2743</v>
      </c>
      <c r="AK61" s="301">
        <v>2434</v>
      </c>
      <c r="AL61" s="301">
        <v>1974</v>
      </c>
      <c r="AM61" s="301">
        <v>695</v>
      </c>
      <c r="AN61" s="298">
        <v>9888</v>
      </c>
      <c r="AO61" s="313"/>
      <c r="AP61" s="283" t="s">
        <v>122</v>
      </c>
      <c r="AQ61" s="284">
        <v>32</v>
      </c>
      <c r="AR61" s="285">
        <v>55</v>
      </c>
      <c r="AS61" s="285">
        <v>67</v>
      </c>
      <c r="AT61" s="285">
        <v>178</v>
      </c>
      <c r="AU61" s="285">
        <v>493</v>
      </c>
      <c r="AV61" s="285">
        <v>451</v>
      </c>
      <c r="AW61" s="285">
        <v>483</v>
      </c>
      <c r="AX61" s="285">
        <v>181</v>
      </c>
      <c r="AY61" s="287">
        <v>1940</v>
      </c>
    </row>
    <row r="62" spans="31:51" ht="12.75">
      <c r="AE62" s="186"/>
      <c r="AF62" s="186"/>
      <c r="AG62" s="186"/>
      <c r="AH62" s="186"/>
      <c r="AI62" s="186"/>
      <c r="AJ62" s="186"/>
      <c r="AK62" s="186"/>
      <c r="AL62" s="186"/>
      <c r="AM62" s="186"/>
      <c r="AN62" s="186"/>
      <c r="AO62" s="315"/>
      <c r="AP62" s="299"/>
      <c r="AQ62" s="300"/>
      <c r="AR62" s="301"/>
      <c r="AS62" s="301"/>
      <c r="AT62" s="301"/>
      <c r="AU62" s="301"/>
      <c r="AV62" s="301"/>
      <c r="AW62" s="301"/>
      <c r="AX62" s="301"/>
      <c r="AY62" s="302"/>
    </row>
    <row r="63" spans="31:51" ht="12.75">
      <c r="AE63" s="276" t="s">
        <v>125</v>
      </c>
      <c r="AF63" s="276" t="s">
        <v>28</v>
      </c>
      <c r="AG63" s="277"/>
      <c r="AH63" s="277"/>
      <c r="AI63" s="277"/>
      <c r="AJ63" s="277"/>
      <c r="AK63" s="277"/>
      <c r="AL63" s="277"/>
      <c r="AM63" s="277"/>
      <c r="AN63" s="189"/>
      <c r="AO63" s="311"/>
      <c r="AP63" s="186"/>
      <c r="AQ63" s="186"/>
      <c r="AR63" s="186"/>
      <c r="AS63" s="186"/>
      <c r="AT63" s="186"/>
      <c r="AU63" s="186"/>
      <c r="AV63" s="186"/>
      <c r="AW63" s="186"/>
      <c r="AX63" s="186"/>
      <c r="AY63" s="186"/>
    </row>
    <row r="64" spans="31:51" ht="12.75">
      <c r="AE64" s="276" t="s">
        <v>121</v>
      </c>
      <c r="AF64" s="276" t="s">
        <v>115</v>
      </c>
      <c r="AG64" s="278" t="s">
        <v>116</v>
      </c>
      <c r="AH64" s="278" t="s">
        <v>117</v>
      </c>
      <c r="AI64" s="278" t="s">
        <v>118</v>
      </c>
      <c r="AJ64" s="278" t="s">
        <v>119</v>
      </c>
      <c r="AK64" s="278" t="s">
        <v>34</v>
      </c>
      <c r="AL64" s="278" t="s">
        <v>35</v>
      </c>
      <c r="AM64" s="278" t="s">
        <v>36</v>
      </c>
      <c r="AN64" s="278" t="s">
        <v>122</v>
      </c>
      <c r="AO64" s="312"/>
      <c r="AP64" s="276" t="s">
        <v>125</v>
      </c>
      <c r="AQ64" s="276" t="s">
        <v>28</v>
      </c>
      <c r="AR64" s="277"/>
      <c r="AS64" s="277"/>
      <c r="AT64" s="277"/>
      <c r="AU64" s="277"/>
      <c r="AV64" s="277"/>
      <c r="AW64" s="277"/>
      <c r="AX64" s="277"/>
      <c r="AY64" s="279"/>
    </row>
    <row r="65" spans="31:51" ht="12.75">
      <c r="AE65" s="276" t="s">
        <v>16</v>
      </c>
      <c r="AF65" s="280">
        <v>9.89318000000003</v>
      </c>
      <c r="AG65" s="281">
        <v>10.282479999999978</v>
      </c>
      <c r="AH65" s="281">
        <v>9.456019999999981</v>
      </c>
      <c r="AI65" s="281">
        <v>17.753499999999867</v>
      </c>
      <c r="AJ65" s="281">
        <v>33.52392000000033</v>
      </c>
      <c r="AK65" s="281">
        <v>29.93712000000007</v>
      </c>
      <c r="AL65" s="281">
        <v>30.512099999999972</v>
      </c>
      <c r="AM65" s="281">
        <v>13.718630000000006</v>
      </c>
      <c r="AN65" s="281">
        <v>155.07695000000072</v>
      </c>
      <c r="AO65" s="312"/>
      <c r="AP65" s="276" t="s">
        <v>121</v>
      </c>
      <c r="AQ65" s="276" t="s">
        <v>115</v>
      </c>
      <c r="AR65" s="278" t="s">
        <v>116</v>
      </c>
      <c r="AS65" s="278" t="s">
        <v>117</v>
      </c>
      <c r="AT65" s="278" t="s">
        <v>118</v>
      </c>
      <c r="AU65" s="278" t="s">
        <v>119</v>
      </c>
      <c r="AV65" s="278" t="s">
        <v>34</v>
      </c>
      <c r="AW65" s="278" t="s">
        <v>35</v>
      </c>
      <c r="AX65" s="278" t="s">
        <v>36</v>
      </c>
      <c r="AY65" s="282" t="s">
        <v>122</v>
      </c>
    </row>
    <row r="66" spans="31:51" ht="12.75">
      <c r="AE66" s="283" t="s">
        <v>17</v>
      </c>
      <c r="AF66" s="284">
        <v>17.15249000000001</v>
      </c>
      <c r="AG66" s="285">
        <v>20.953080000000053</v>
      </c>
      <c r="AH66" s="285">
        <v>21.829579999999865</v>
      </c>
      <c r="AI66" s="285">
        <v>44.07550999999991</v>
      </c>
      <c r="AJ66" s="285">
        <v>110.52419000000035</v>
      </c>
      <c r="AK66" s="285">
        <v>109.91388000000018</v>
      </c>
      <c r="AL66" s="285">
        <v>117.88050000000027</v>
      </c>
      <c r="AM66" s="285">
        <v>53.21201999999995</v>
      </c>
      <c r="AN66" s="285">
        <v>495.541250000001</v>
      </c>
      <c r="AO66" s="312"/>
      <c r="AP66" s="276" t="s">
        <v>16</v>
      </c>
      <c r="AQ66" s="280">
        <v>4.018599999999999</v>
      </c>
      <c r="AR66" s="281">
        <v>2.73741</v>
      </c>
      <c r="AS66" s="281">
        <v>2.1187899999999997</v>
      </c>
      <c r="AT66" s="281">
        <v>3.720580000000003</v>
      </c>
      <c r="AU66" s="281">
        <v>5.79540999999999</v>
      </c>
      <c r="AV66" s="281">
        <v>5.020490000000007</v>
      </c>
      <c r="AW66" s="281">
        <v>5.984749999999996</v>
      </c>
      <c r="AX66" s="281">
        <v>3.001530000000002</v>
      </c>
      <c r="AY66" s="286">
        <v>32.39756000000006</v>
      </c>
    </row>
    <row r="67" spans="31:51" ht="12.75">
      <c r="AE67" s="283" t="s">
        <v>18</v>
      </c>
      <c r="AF67" s="284">
        <v>25.61020999999998</v>
      </c>
      <c r="AG67" s="285">
        <v>34.56286999999992</v>
      </c>
      <c r="AH67" s="285">
        <v>38.23778999999986</v>
      </c>
      <c r="AI67" s="285">
        <v>81.53880000000036</v>
      </c>
      <c r="AJ67" s="285">
        <v>225.38142999999974</v>
      </c>
      <c r="AK67" s="285">
        <v>228.88616000000033</v>
      </c>
      <c r="AL67" s="285">
        <v>221.0226499999999</v>
      </c>
      <c r="AM67" s="285">
        <v>93.00272999999997</v>
      </c>
      <c r="AN67" s="285">
        <v>948.242640000006</v>
      </c>
      <c r="AO67" s="313"/>
      <c r="AP67" s="283" t="s">
        <v>17</v>
      </c>
      <c r="AQ67" s="284">
        <v>4.2889599999999986</v>
      </c>
      <c r="AR67" s="285">
        <v>3.5831400000000047</v>
      </c>
      <c r="AS67" s="285">
        <v>2.812859999999997</v>
      </c>
      <c r="AT67" s="285">
        <v>5.568599999999995</v>
      </c>
      <c r="AU67" s="285">
        <v>15.610720000000036</v>
      </c>
      <c r="AV67" s="285">
        <v>16.898300000000056</v>
      </c>
      <c r="AW67" s="285">
        <v>19.306319999999978</v>
      </c>
      <c r="AX67" s="285">
        <v>8.776110000000008</v>
      </c>
      <c r="AY67" s="287">
        <v>76.84501000000002</v>
      </c>
    </row>
    <row r="68" spans="31:51" ht="12.75">
      <c r="AE68" s="283" t="s">
        <v>19</v>
      </c>
      <c r="AF68" s="284">
        <v>31.258340000000036</v>
      </c>
      <c r="AG68" s="285">
        <v>39.950870000000165</v>
      </c>
      <c r="AH68" s="285">
        <v>43.680490000000006</v>
      </c>
      <c r="AI68" s="285">
        <v>108.1241600000002</v>
      </c>
      <c r="AJ68" s="285">
        <v>336.75416000000257</v>
      </c>
      <c r="AK68" s="285">
        <v>306.6346999999998</v>
      </c>
      <c r="AL68" s="285">
        <v>269.02136999999937</v>
      </c>
      <c r="AM68" s="285">
        <v>95.69517999999994</v>
      </c>
      <c r="AN68" s="285">
        <v>1231.1192700000108</v>
      </c>
      <c r="AO68" s="313"/>
      <c r="AP68" s="283" t="s">
        <v>18</v>
      </c>
      <c r="AQ68" s="284">
        <v>4.68199</v>
      </c>
      <c r="AR68" s="285">
        <v>5.199000000000013</v>
      </c>
      <c r="AS68" s="285">
        <v>5.1631599999999995</v>
      </c>
      <c r="AT68" s="285">
        <v>11.247459999999991</v>
      </c>
      <c r="AU68" s="285">
        <v>36.041909999999895</v>
      </c>
      <c r="AV68" s="285">
        <v>42.59101000000006</v>
      </c>
      <c r="AW68" s="285">
        <v>42.04387000000001</v>
      </c>
      <c r="AX68" s="285">
        <v>18.34493</v>
      </c>
      <c r="AY68" s="287">
        <v>165.31333000000046</v>
      </c>
    </row>
    <row r="69" spans="31:51" ht="12.75">
      <c r="AE69" s="283" t="s">
        <v>104</v>
      </c>
      <c r="AF69" s="284">
        <v>30.37963999999997</v>
      </c>
      <c r="AG69" s="285">
        <v>38.42568000000005</v>
      </c>
      <c r="AH69" s="285">
        <v>48.73438000000006</v>
      </c>
      <c r="AI69" s="285">
        <v>128.18881999999974</v>
      </c>
      <c r="AJ69" s="285">
        <v>375.76647000000054</v>
      </c>
      <c r="AK69" s="285">
        <v>295.86316000000056</v>
      </c>
      <c r="AL69" s="285">
        <v>223.31981000000042</v>
      </c>
      <c r="AM69" s="285">
        <v>67.39545999999991</v>
      </c>
      <c r="AN69" s="285">
        <v>1208.0734200000127</v>
      </c>
      <c r="AO69" s="313"/>
      <c r="AP69" s="283" t="s">
        <v>19</v>
      </c>
      <c r="AQ69" s="284">
        <v>5.225740000000002</v>
      </c>
      <c r="AR69" s="285">
        <v>6.383190000000001</v>
      </c>
      <c r="AS69" s="285">
        <v>7.260629999999998</v>
      </c>
      <c r="AT69" s="285">
        <v>19.821899999999992</v>
      </c>
      <c r="AU69" s="285">
        <v>66.70966000000033</v>
      </c>
      <c r="AV69" s="285">
        <v>63.447089999999925</v>
      </c>
      <c r="AW69" s="285">
        <v>59.3283199999999</v>
      </c>
      <c r="AX69" s="285">
        <v>23.795549999999984</v>
      </c>
      <c r="AY69" s="287">
        <v>251.97208000000154</v>
      </c>
    </row>
    <row r="70" spans="31:51" ht="12.75">
      <c r="AE70" s="283" t="s">
        <v>105</v>
      </c>
      <c r="AF70" s="284">
        <v>26.67631000000004</v>
      </c>
      <c r="AG70" s="285">
        <v>40.64768000000001</v>
      </c>
      <c r="AH70" s="285">
        <v>55.17898000000015</v>
      </c>
      <c r="AI70" s="285">
        <v>136.65890999999996</v>
      </c>
      <c r="AJ70" s="285">
        <v>363.27234999999956</v>
      </c>
      <c r="AK70" s="285">
        <v>224.96444000000062</v>
      </c>
      <c r="AL70" s="285">
        <v>160.50608000000022</v>
      </c>
      <c r="AM70" s="285">
        <v>56.935319999999955</v>
      </c>
      <c r="AN70" s="285">
        <v>1064.8400700000095</v>
      </c>
      <c r="AO70" s="313"/>
      <c r="AP70" s="283" t="s">
        <v>104</v>
      </c>
      <c r="AQ70" s="284">
        <v>5.887879999999998</v>
      </c>
      <c r="AR70" s="285">
        <v>9.250669999999994</v>
      </c>
      <c r="AS70" s="285">
        <v>11.586549999999994</v>
      </c>
      <c r="AT70" s="285">
        <v>29.61322999999996</v>
      </c>
      <c r="AU70" s="285">
        <v>78.95536000000013</v>
      </c>
      <c r="AV70" s="285">
        <v>64.94745000000002</v>
      </c>
      <c r="AW70" s="285">
        <v>62.38211999999998</v>
      </c>
      <c r="AX70" s="285">
        <v>21.633209999999966</v>
      </c>
      <c r="AY70" s="287">
        <v>284.2564700000016</v>
      </c>
    </row>
    <row r="71" spans="31:51" ht="12.75">
      <c r="AE71" s="283" t="s">
        <v>106</v>
      </c>
      <c r="AF71" s="284">
        <v>23.11643000000004</v>
      </c>
      <c r="AG71" s="285">
        <v>38.15419000000015</v>
      </c>
      <c r="AH71" s="285">
        <v>51.27180999999978</v>
      </c>
      <c r="AI71" s="285">
        <v>125.93015000000025</v>
      </c>
      <c r="AJ71" s="285">
        <v>297.1196200000001</v>
      </c>
      <c r="AK71" s="285">
        <v>149.15071000000023</v>
      </c>
      <c r="AL71" s="285">
        <v>137.95372999999998</v>
      </c>
      <c r="AM71" s="285">
        <v>69.92002000000006</v>
      </c>
      <c r="AN71" s="285">
        <v>892.6166599999864</v>
      </c>
      <c r="AO71" s="313"/>
      <c r="AP71" s="283" t="s">
        <v>105</v>
      </c>
      <c r="AQ71" s="284">
        <v>7.546230000000002</v>
      </c>
      <c r="AR71" s="285">
        <v>11.17456000000002</v>
      </c>
      <c r="AS71" s="285">
        <v>13.046699999999964</v>
      </c>
      <c r="AT71" s="285">
        <v>30.087479999999985</v>
      </c>
      <c r="AU71" s="285">
        <v>75.25142999999991</v>
      </c>
      <c r="AV71" s="285">
        <v>57.58191000000009</v>
      </c>
      <c r="AW71" s="285">
        <v>53.09517999999996</v>
      </c>
      <c r="AX71" s="285">
        <v>19.231849999999998</v>
      </c>
      <c r="AY71" s="287">
        <v>267.01534000000055</v>
      </c>
    </row>
    <row r="72" spans="31:51" ht="12.75">
      <c r="AE72" s="283" t="s">
        <v>107</v>
      </c>
      <c r="AF72" s="284">
        <v>19.143230000000028</v>
      </c>
      <c r="AG72" s="285">
        <v>30.93541999999984</v>
      </c>
      <c r="AH72" s="285">
        <v>42.095189999999974</v>
      </c>
      <c r="AI72" s="285">
        <v>98.00892999999988</v>
      </c>
      <c r="AJ72" s="285">
        <v>210.34009000000117</v>
      </c>
      <c r="AK72" s="285">
        <v>132.3942300000003</v>
      </c>
      <c r="AL72" s="285">
        <v>167.21420999999987</v>
      </c>
      <c r="AM72" s="285">
        <v>92.85168000000009</v>
      </c>
      <c r="AN72" s="285">
        <v>792.9829799999982</v>
      </c>
      <c r="AO72" s="313"/>
      <c r="AP72" s="283" t="s">
        <v>106</v>
      </c>
      <c r="AQ72" s="284">
        <v>5.939820000000002</v>
      </c>
      <c r="AR72" s="285">
        <v>8.695000000000002</v>
      </c>
      <c r="AS72" s="285">
        <v>10.38847</v>
      </c>
      <c r="AT72" s="285">
        <v>25.89702000000001</v>
      </c>
      <c r="AU72" s="285">
        <v>63.19336000000013</v>
      </c>
      <c r="AV72" s="285">
        <v>41.278400000000005</v>
      </c>
      <c r="AW72" s="285">
        <v>46.49961999999988</v>
      </c>
      <c r="AX72" s="285">
        <v>23.06541</v>
      </c>
      <c r="AY72" s="287">
        <v>224.9571000000006</v>
      </c>
    </row>
    <row r="73" spans="31:51" ht="12.75">
      <c r="AE73" s="283" t="s">
        <v>108</v>
      </c>
      <c r="AF73" s="284">
        <v>12.157820000000024</v>
      </c>
      <c r="AG73" s="285">
        <v>21.517409999999916</v>
      </c>
      <c r="AH73" s="285">
        <v>30.12508000000003</v>
      </c>
      <c r="AI73" s="285">
        <v>70.5097999999998</v>
      </c>
      <c r="AJ73" s="285">
        <v>177.45393999999914</v>
      </c>
      <c r="AK73" s="285">
        <v>184.0046399999991</v>
      </c>
      <c r="AL73" s="285">
        <v>221.85233000000096</v>
      </c>
      <c r="AM73" s="285">
        <v>96.55289000000003</v>
      </c>
      <c r="AN73" s="285">
        <v>814.1739100000001</v>
      </c>
      <c r="AO73" s="313"/>
      <c r="AP73" s="283" t="s">
        <v>107</v>
      </c>
      <c r="AQ73" s="284">
        <v>4.194260000000002</v>
      </c>
      <c r="AR73" s="285">
        <v>6.584849999999995</v>
      </c>
      <c r="AS73" s="285">
        <v>8.318909999999997</v>
      </c>
      <c r="AT73" s="285">
        <v>19.885370000000016</v>
      </c>
      <c r="AU73" s="285">
        <v>44.41282000000003</v>
      </c>
      <c r="AV73" s="285">
        <v>32.801510000000015</v>
      </c>
      <c r="AW73" s="285">
        <v>53.99011000000002</v>
      </c>
      <c r="AX73" s="285">
        <v>24.517890000000016</v>
      </c>
      <c r="AY73" s="287">
        <v>194.70571999999987</v>
      </c>
    </row>
    <row r="74" spans="31:51" ht="12.75">
      <c r="AE74" s="283" t="s">
        <v>109</v>
      </c>
      <c r="AF74" s="284">
        <v>10.228570000000005</v>
      </c>
      <c r="AG74" s="285">
        <v>17.62803999999994</v>
      </c>
      <c r="AH74" s="285">
        <v>24.554609999999954</v>
      </c>
      <c r="AI74" s="285">
        <v>55.935329999999944</v>
      </c>
      <c r="AJ74" s="285">
        <v>190.2373500000006</v>
      </c>
      <c r="AK74" s="285">
        <v>272.7554699999999</v>
      </c>
      <c r="AL74" s="285">
        <v>250.76161000000033</v>
      </c>
      <c r="AM74" s="285">
        <v>74.51460000000002</v>
      </c>
      <c r="AN74" s="285">
        <v>896.6155799999951</v>
      </c>
      <c r="AO74" s="313"/>
      <c r="AP74" s="283" t="s">
        <v>108</v>
      </c>
      <c r="AQ74" s="284">
        <v>2.8372899999999985</v>
      </c>
      <c r="AR74" s="285">
        <v>4.9438399999999945</v>
      </c>
      <c r="AS74" s="285">
        <v>6.623469999999997</v>
      </c>
      <c r="AT74" s="285">
        <v>14.570830000000015</v>
      </c>
      <c r="AU74" s="285">
        <v>32.34640999999999</v>
      </c>
      <c r="AV74" s="285">
        <v>37.27122999999999</v>
      </c>
      <c r="AW74" s="285">
        <v>60.71407000000005</v>
      </c>
      <c r="AX74" s="285">
        <v>21.832199999999997</v>
      </c>
      <c r="AY74" s="287">
        <v>181.13933999999983</v>
      </c>
    </row>
    <row r="75" spans="31:51" ht="12.75">
      <c r="AE75" s="283" t="s">
        <v>110</v>
      </c>
      <c r="AF75" s="284">
        <v>11.658489999999992</v>
      </c>
      <c r="AG75" s="285">
        <v>19.215249999999994</v>
      </c>
      <c r="AH75" s="285">
        <v>24.95457000000005</v>
      </c>
      <c r="AI75" s="285">
        <v>54.92466999999989</v>
      </c>
      <c r="AJ75" s="285">
        <v>221.99645999999984</v>
      </c>
      <c r="AK75" s="285">
        <v>313.52085000000005</v>
      </c>
      <c r="AL75" s="285">
        <v>198.0362699999999</v>
      </c>
      <c r="AM75" s="285">
        <v>29.255270000000007</v>
      </c>
      <c r="AN75" s="285">
        <v>873.561829999997</v>
      </c>
      <c r="AO75" s="313"/>
      <c r="AP75" s="283" t="s">
        <v>109</v>
      </c>
      <c r="AQ75" s="284">
        <v>1.8778800000000004</v>
      </c>
      <c r="AR75" s="285">
        <v>2.98161</v>
      </c>
      <c r="AS75" s="285">
        <v>3.5623899999999984</v>
      </c>
      <c r="AT75" s="285">
        <v>8.516240000000002</v>
      </c>
      <c r="AU75" s="285">
        <v>27.489439999999984</v>
      </c>
      <c r="AV75" s="285">
        <v>35.93268000000001</v>
      </c>
      <c r="AW75" s="285">
        <v>65.97466000000003</v>
      </c>
      <c r="AX75" s="285">
        <v>11.922289999999997</v>
      </c>
      <c r="AY75" s="287">
        <v>158.2571899999999</v>
      </c>
    </row>
    <row r="76" spans="31:51" ht="12.75">
      <c r="AE76" s="283" t="s">
        <v>111</v>
      </c>
      <c r="AF76" s="284">
        <v>13.762930000000011</v>
      </c>
      <c r="AG76" s="285">
        <v>23.144779999999905</v>
      </c>
      <c r="AH76" s="285">
        <v>29.72576</v>
      </c>
      <c r="AI76" s="285">
        <v>57.51924999999991</v>
      </c>
      <c r="AJ76" s="285">
        <v>237.30486000000045</v>
      </c>
      <c r="AK76" s="285">
        <v>239.13139999999984</v>
      </c>
      <c r="AL76" s="285">
        <v>70.21778</v>
      </c>
      <c r="AM76" s="285">
        <v>1.89514</v>
      </c>
      <c r="AN76" s="285">
        <v>672.7018999999992</v>
      </c>
      <c r="AO76" s="313"/>
      <c r="AP76" s="283" t="s">
        <v>110</v>
      </c>
      <c r="AQ76" s="284">
        <v>1.40951</v>
      </c>
      <c r="AR76" s="285">
        <v>2.13378</v>
      </c>
      <c r="AS76" s="285">
        <v>2.4546300000000003</v>
      </c>
      <c r="AT76" s="285">
        <v>5.5463800000000045</v>
      </c>
      <c r="AU76" s="285">
        <v>23.789220000000007</v>
      </c>
      <c r="AV76" s="285">
        <v>28.195270000000022</v>
      </c>
      <c r="AW76" s="285">
        <v>48.20042</v>
      </c>
      <c r="AX76" s="285">
        <v>4.72061</v>
      </c>
      <c r="AY76" s="287">
        <v>116.4498199999998</v>
      </c>
    </row>
    <row r="77" spans="31:51" ht="12.75">
      <c r="AE77" s="283" t="s">
        <v>112</v>
      </c>
      <c r="AF77" s="284">
        <v>10.217369999999995</v>
      </c>
      <c r="AG77" s="285">
        <v>20.001239999999985</v>
      </c>
      <c r="AH77" s="285">
        <v>28.734760000000044</v>
      </c>
      <c r="AI77" s="285">
        <v>60.98017999999988</v>
      </c>
      <c r="AJ77" s="285">
        <v>179.65480000000025</v>
      </c>
      <c r="AK77" s="285">
        <v>81.85072999999997</v>
      </c>
      <c r="AL77" s="285">
        <v>8.462179999999998</v>
      </c>
      <c r="AM77" s="285">
        <v>0.40008</v>
      </c>
      <c r="AN77" s="285">
        <v>390.3013400000014</v>
      </c>
      <c r="AO77" s="313"/>
      <c r="AP77" s="283" t="s">
        <v>111</v>
      </c>
      <c r="AQ77" s="284">
        <v>1.00407</v>
      </c>
      <c r="AR77" s="285">
        <v>1.7591500000000004</v>
      </c>
      <c r="AS77" s="285">
        <v>1.63067</v>
      </c>
      <c r="AT77" s="285">
        <v>3.0637999999999996</v>
      </c>
      <c r="AU77" s="285">
        <v>13.948820000000003</v>
      </c>
      <c r="AV77" s="285">
        <v>15.250019999999996</v>
      </c>
      <c r="AW77" s="285">
        <v>13.346369999999999</v>
      </c>
      <c r="AX77" s="285">
        <v>1.42361</v>
      </c>
      <c r="AY77" s="287">
        <v>51.42651</v>
      </c>
    </row>
    <row r="78" spans="31:51" ht="12.75">
      <c r="AE78" s="283" t="s">
        <v>113</v>
      </c>
      <c r="AF78" s="284">
        <v>2.1835600000000004</v>
      </c>
      <c r="AG78" s="285">
        <v>7.820010000000003</v>
      </c>
      <c r="AH78" s="285">
        <v>15.886600000000001</v>
      </c>
      <c r="AI78" s="285">
        <v>22.33410999999998</v>
      </c>
      <c r="AJ78" s="285">
        <v>35.631830000000015</v>
      </c>
      <c r="AK78" s="285">
        <v>8.17741</v>
      </c>
      <c r="AL78" s="285">
        <v>1.2844300000000002</v>
      </c>
      <c r="AM78" s="285"/>
      <c r="AN78" s="285">
        <v>93.3179500000002</v>
      </c>
      <c r="AO78" s="313"/>
      <c r="AP78" s="283" t="s">
        <v>112</v>
      </c>
      <c r="AQ78" s="284">
        <v>0.64292</v>
      </c>
      <c r="AR78" s="285">
        <v>0.9793200000000003</v>
      </c>
      <c r="AS78" s="285">
        <v>0.9550200000000001</v>
      </c>
      <c r="AT78" s="285">
        <v>2.63725</v>
      </c>
      <c r="AU78" s="285">
        <v>9.830800000000002</v>
      </c>
      <c r="AV78" s="285">
        <v>3.7656700000000005</v>
      </c>
      <c r="AW78" s="285">
        <v>0.95083</v>
      </c>
      <c r="AX78" s="285"/>
      <c r="AY78" s="287">
        <v>19.76181000000001</v>
      </c>
    </row>
    <row r="79" spans="31:51" ht="12.75">
      <c r="AE79" s="283" t="s">
        <v>114</v>
      </c>
      <c r="AF79" s="284">
        <v>0.09224</v>
      </c>
      <c r="AG79" s="285">
        <v>0.58654</v>
      </c>
      <c r="AH79" s="285">
        <v>0.6213</v>
      </c>
      <c r="AI79" s="285">
        <v>1.58038</v>
      </c>
      <c r="AJ79" s="285">
        <v>0.50388</v>
      </c>
      <c r="AK79" s="285">
        <v>1.52484</v>
      </c>
      <c r="AL79" s="285"/>
      <c r="AM79" s="285"/>
      <c r="AN79" s="285">
        <v>4.909179999999999</v>
      </c>
      <c r="AO79" s="313"/>
      <c r="AP79" s="283" t="s">
        <v>113</v>
      </c>
      <c r="AQ79" s="284">
        <v>0.07572</v>
      </c>
      <c r="AR79" s="285">
        <v>0.38842</v>
      </c>
      <c r="AS79" s="285">
        <v>0.6438699999999999</v>
      </c>
      <c r="AT79" s="285">
        <v>1.89224</v>
      </c>
      <c r="AU79" s="285">
        <v>0.47250000000000003</v>
      </c>
      <c r="AV79" s="285">
        <v>0.21449</v>
      </c>
      <c r="AW79" s="285"/>
      <c r="AX79" s="285"/>
      <c r="AY79" s="287">
        <v>3.6872400000000005</v>
      </c>
    </row>
    <row r="80" spans="31:51" ht="12.75">
      <c r="AE80" s="299" t="s">
        <v>122</v>
      </c>
      <c r="AF80" s="300">
        <v>243.530810000003</v>
      </c>
      <c r="AG80" s="301">
        <v>363.82553999999794</v>
      </c>
      <c r="AH80" s="301">
        <v>465.0869200000012</v>
      </c>
      <c r="AI80" s="301">
        <v>1064.0625</v>
      </c>
      <c r="AJ80" s="301">
        <v>2995.4653500000613</v>
      </c>
      <c r="AK80" s="301">
        <v>2578.709740000038</v>
      </c>
      <c r="AL80" s="301">
        <v>2078.0450500000125</v>
      </c>
      <c r="AM80" s="301">
        <v>745.3490199999999</v>
      </c>
      <c r="AN80" s="298">
        <v>10534.07493000002</v>
      </c>
      <c r="AO80" s="313"/>
      <c r="AP80" s="283" t="s">
        <v>122</v>
      </c>
      <c r="AQ80" s="284">
        <v>49.63087000000007</v>
      </c>
      <c r="AR80" s="285">
        <v>66.7939400000003</v>
      </c>
      <c r="AS80" s="285">
        <v>76.56611999999983</v>
      </c>
      <c r="AT80" s="285">
        <v>182.06838000000076</v>
      </c>
      <c r="AU80" s="285">
        <v>493.8478599999986</v>
      </c>
      <c r="AV80" s="285">
        <v>445.1955199999993</v>
      </c>
      <c r="AW80" s="285">
        <v>531.8166400000017</v>
      </c>
      <c r="AX80" s="285">
        <v>182.26519000000002</v>
      </c>
      <c r="AY80" s="287">
        <v>2028.1845200000043</v>
      </c>
    </row>
    <row r="81" spans="41:51" ht="12.75">
      <c r="AO81" s="315"/>
      <c r="AP81" s="299"/>
      <c r="AQ81" s="300"/>
      <c r="AR81" s="301"/>
      <c r="AS81" s="301"/>
      <c r="AT81" s="301"/>
      <c r="AU81" s="301"/>
      <c r="AV81" s="301"/>
      <c r="AW81" s="301"/>
      <c r="AX81" s="301"/>
      <c r="AY81" s="302"/>
    </row>
    <row r="82" spans="41:51" ht="12.75">
      <c r="AO82" s="309"/>
      <c r="AP82" s="189"/>
      <c r="AQ82" s="189"/>
      <c r="AR82" s="189"/>
      <c r="AS82" s="189"/>
      <c r="AT82" s="189"/>
      <c r="AU82" s="189"/>
      <c r="AV82" s="189"/>
      <c r="AW82" s="189"/>
      <c r="AX82" s="189"/>
      <c r="AY82" s="189"/>
    </row>
    <row r="83" spans="41:51" ht="12.75">
      <c r="AO83" s="309"/>
      <c r="AP83" s="189"/>
      <c r="AQ83" s="189"/>
      <c r="AR83" s="189"/>
      <c r="AS83" s="189"/>
      <c r="AT83" s="189"/>
      <c r="AU83" s="189"/>
      <c r="AV83" s="189"/>
      <c r="AW83" s="189"/>
      <c r="AX83" s="189"/>
      <c r="AY83" s="189"/>
    </row>
    <row r="84" spans="41:51" ht="12.75">
      <c r="AO84" s="309"/>
      <c r="AP84" s="189"/>
      <c r="AQ84" s="189"/>
      <c r="AR84" s="189"/>
      <c r="AS84" s="189"/>
      <c r="AT84" s="189"/>
      <c r="AU84" s="189"/>
      <c r="AV84" s="189"/>
      <c r="AW84" s="189"/>
      <c r="AX84" s="189"/>
      <c r="AY84" s="189"/>
    </row>
    <row r="85" spans="41:51" ht="12.75">
      <c r="AO85" s="309"/>
      <c r="AP85" s="189"/>
      <c r="AQ85" s="189"/>
      <c r="AR85" s="189"/>
      <c r="AS85" s="189"/>
      <c r="AT85" s="189"/>
      <c r="AU85" s="189"/>
      <c r="AV85" s="189"/>
      <c r="AW85" s="189"/>
      <c r="AX85" s="189"/>
      <c r="AY85" s="189"/>
    </row>
    <row r="86" spans="41:51" ht="12.75">
      <c r="AO86" s="309"/>
      <c r="AP86" s="189"/>
      <c r="AQ86" s="189"/>
      <c r="AR86" s="189"/>
      <c r="AS86" s="189"/>
      <c r="AT86" s="189"/>
      <c r="AU86" s="189"/>
      <c r="AV86" s="189"/>
      <c r="AW86" s="189"/>
      <c r="AX86" s="189"/>
      <c r="AY86" s="189"/>
    </row>
    <row r="87" spans="41:51" ht="12.75">
      <c r="AO87" s="309"/>
      <c r="AP87" s="189"/>
      <c r="AQ87" s="189"/>
      <c r="AR87" s="189"/>
      <c r="AS87" s="189"/>
      <c r="AT87" s="189"/>
      <c r="AU87" s="189"/>
      <c r="AV87" s="189"/>
      <c r="AW87" s="189"/>
      <c r="AX87" s="189"/>
      <c r="AY87" s="189"/>
    </row>
    <row r="88" spans="41:51" ht="12.75">
      <c r="AO88" s="309"/>
      <c r="AP88" s="189"/>
      <c r="AQ88" s="189"/>
      <c r="AR88" s="189"/>
      <c r="AS88" s="189"/>
      <c r="AT88" s="189"/>
      <c r="AU88" s="189"/>
      <c r="AV88" s="189"/>
      <c r="AW88" s="189"/>
      <c r="AX88" s="189"/>
      <c r="AY88" s="189"/>
    </row>
    <row r="89" spans="41:51" ht="12.75">
      <c r="AO89" s="309"/>
      <c r="AP89" s="189"/>
      <c r="AQ89" s="189"/>
      <c r="AR89" s="189"/>
      <c r="AS89" s="189"/>
      <c r="AT89" s="189"/>
      <c r="AU89" s="189"/>
      <c r="AV89" s="189"/>
      <c r="AW89" s="189"/>
      <c r="AX89" s="189"/>
      <c r="AY89" s="189"/>
    </row>
    <row r="90" spans="41:51" ht="12.75">
      <c r="AO90" s="309"/>
      <c r="AP90" s="189"/>
      <c r="AQ90" s="189"/>
      <c r="AR90" s="189"/>
      <c r="AS90" s="189"/>
      <c r="AT90" s="189"/>
      <c r="AU90" s="189"/>
      <c r="AV90" s="189"/>
      <c r="AW90" s="189"/>
      <c r="AX90" s="189"/>
      <c r="AY90" s="189"/>
    </row>
    <row r="91" spans="41:51" ht="12.75">
      <c r="AO91" s="309"/>
      <c r="AP91" s="189"/>
      <c r="AQ91" s="189"/>
      <c r="AR91" s="189"/>
      <c r="AS91" s="189"/>
      <c r="AT91" s="189"/>
      <c r="AU91" s="189"/>
      <c r="AV91" s="189"/>
      <c r="AW91" s="189"/>
      <c r="AX91" s="189"/>
      <c r="AY91" s="189"/>
    </row>
    <row r="92" spans="41:51" ht="12.75">
      <c r="AO92" s="309"/>
      <c r="AP92" s="189"/>
      <c r="AQ92" s="189"/>
      <c r="AR92" s="189"/>
      <c r="AS92" s="189"/>
      <c r="AT92" s="189"/>
      <c r="AU92" s="189"/>
      <c r="AV92" s="189"/>
      <c r="AW92" s="189"/>
      <c r="AX92" s="189"/>
      <c r="AY92" s="189"/>
    </row>
    <row r="93" spans="41:51" ht="12.75">
      <c r="AO93" s="309"/>
      <c r="AP93" s="189"/>
      <c r="AQ93" s="189"/>
      <c r="AR93" s="189"/>
      <c r="AS93" s="189"/>
      <c r="AT93" s="189"/>
      <c r="AU93" s="189"/>
      <c r="AV93" s="189"/>
      <c r="AW93" s="189"/>
      <c r="AX93" s="189"/>
      <c r="AY93" s="189"/>
    </row>
    <row r="94" spans="41:51" ht="12.75">
      <c r="AO94" s="309"/>
      <c r="AP94" s="189"/>
      <c r="AQ94" s="298"/>
      <c r="AR94" s="298"/>
      <c r="AS94" s="298"/>
      <c r="AT94" s="298"/>
      <c r="AU94" s="298"/>
      <c r="AV94" s="298"/>
      <c r="AW94" s="298"/>
      <c r="AX94" s="298"/>
      <c r="AY94" s="298"/>
    </row>
    <row r="95" spans="41:51" ht="12.75">
      <c r="AO95" s="309"/>
      <c r="AP95" s="189"/>
      <c r="AQ95" s="298"/>
      <c r="AR95" s="298"/>
      <c r="AS95" s="298"/>
      <c r="AT95" s="298"/>
      <c r="AU95" s="298"/>
      <c r="AV95" s="298"/>
      <c r="AW95" s="298"/>
      <c r="AX95" s="298"/>
      <c r="AY95" s="298"/>
    </row>
    <row r="96" spans="41:51" ht="12.75">
      <c r="AO96" s="309"/>
      <c r="AP96" s="189"/>
      <c r="AQ96" s="298"/>
      <c r="AR96" s="298"/>
      <c r="AS96" s="298"/>
      <c r="AT96" s="298"/>
      <c r="AU96" s="298"/>
      <c r="AV96" s="298"/>
      <c r="AW96" s="298"/>
      <c r="AX96" s="298"/>
      <c r="AY96" s="298"/>
    </row>
    <row r="97" spans="41:51" ht="12.75">
      <c r="AO97" s="309"/>
      <c r="AP97" s="189"/>
      <c r="AQ97" s="298"/>
      <c r="AR97" s="298"/>
      <c r="AS97" s="298"/>
      <c r="AT97" s="298"/>
      <c r="AU97" s="298"/>
      <c r="AV97" s="298"/>
      <c r="AW97" s="298"/>
      <c r="AX97" s="298"/>
      <c r="AY97" s="298"/>
    </row>
    <row r="98" spans="41:51" ht="12.75">
      <c r="AO98" s="309"/>
      <c r="AP98" s="189"/>
      <c r="AQ98" s="298"/>
      <c r="AR98" s="298"/>
      <c r="AS98" s="298"/>
      <c r="AT98" s="298"/>
      <c r="AU98" s="298"/>
      <c r="AV98" s="298"/>
      <c r="AW98" s="298"/>
      <c r="AX98" s="298"/>
      <c r="AY98" s="298"/>
    </row>
    <row r="99" spans="41:51" ht="12.75">
      <c r="AO99" s="309"/>
      <c r="AP99" s="189"/>
      <c r="AQ99" s="298"/>
      <c r="AR99" s="298"/>
      <c r="AS99" s="298"/>
      <c r="AT99" s="298"/>
      <c r="AU99" s="298"/>
      <c r="AV99" s="298"/>
      <c r="AW99" s="298"/>
      <c r="AX99" s="298"/>
      <c r="AY99" s="298"/>
    </row>
    <row r="100" spans="41:51" ht="12.75">
      <c r="AO100" s="309"/>
      <c r="AP100" s="189"/>
      <c r="AQ100" s="298"/>
      <c r="AR100" s="298"/>
      <c r="AS100" s="298"/>
      <c r="AT100" s="298"/>
      <c r="AU100" s="298"/>
      <c r="AV100" s="298"/>
      <c r="AW100" s="298"/>
      <c r="AX100" s="298"/>
      <c r="AY100" s="298"/>
    </row>
    <row r="101" spans="41:51" ht="12.75">
      <c r="AO101" s="309"/>
      <c r="AP101" s="189"/>
      <c r="AQ101" s="298"/>
      <c r="AR101" s="298"/>
      <c r="AS101" s="298"/>
      <c r="AT101" s="298"/>
      <c r="AU101" s="298"/>
      <c r="AV101" s="298"/>
      <c r="AW101" s="298"/>
      <c r="AX101" s="298"/>
      <c r="AY101" s="298"/>
    </row>
    <row r="102" spans="41:51" ht="12.75">
      <c r="AO102" s="309"/>
      <c r="AP102" s="189"/>
      <c r="AQ102" s="298"/>
      <c r="AR102" s="298"/>
      <c r="AS102" s="298"/>
      <c r="AT102" s="298"/>
      <c r="AU102" s="298"/>
      <c r="AV102" s="298"/>
      <c r="AW102" s="298"/>
      <c r="AX102" s="298"/>
      <c r="AY102" s="298"/>
    </row>
    <row r="103" spans="41:51" ht="12.75">
      <c r="AO103" s="309"/>
      <c r="AP103" s="189"/>
      <c r="AQ103" s="298"/>
      <c r="AR103" s="298"/>
      <c r="AS103" s="298"/>
      <c r="AT103" s="298"/>
      <c r="AU103" s="298"/>
      <c r="AV103" s="298"/>
      <c r="AW103" s="298"/>
      <c r="AX103" s="298"/>
      <c r="AY103" s="298"/>
    </row>
    <row r="104" spans="41:51" ht="12.75">
      <c r="AO104" s="309"/>
      <c r="AP104" s="189"/>
      <c r="AQ104" s="298"/>
      <c r="AR104" s="298"/>
      <c r="AS104" s="298"/>
      <c r="AT104" s="298"/>
      <c r="AU104" s="298"/>
      <c r="AV104" s="298"/>
      <c r="AW104" s="298"/>
      <c r="AX104" s="298"/>
      <c r="AY104" s="298"/>
    </row>
    <row r="105" spans="41:51" ht="12.75">
      <c r="AO105" s="309"/>
      <c r="AP105" s="189"/>
      <c r="AQ105" s="298"/>
      <c r="AR105" s="298"/>
      <c r="AS105" s="298"/>
      <c r="AT105" s="298"/>
      <c r="AU105" s="298"/>
      <c r="AV105" s="298"/>
      <c r="AW105" s="298"/>
      <c r="AX105" s="298"/>
      <c r="AY105" s="298"/>
    </row>
    <row r="106" spans="41:51" ht="12.75">
      <c r="AO106" s="309"/>
      <c r="AP106" s="189"/>
      <c r="AQ106" s="298"/>
      <c r="AR106" s="298"/>
      <c r="AS106" s="298"/>
      <c r="AT106" s="298"/>
      <c r="AU106" s="298"/>
      <c r="AV106" s="298"/>
      <c r="AW106" s="298"/>
      <c r="AX106" s="298"/>
      <c r="AY106" s="298"/>
    </row>
    <row r="107" spans="41:51" ht="12.75">
      <c r="AO107" s="309"/>
      <c r="AP107" s="189"/>
      <c r="AQ107" s="298"/>
      <c r="AR107" s="298"/>
      <c r="AS107" s="298"/>
      <c r="AT107" s="298"/>
      <c r="AU107" s="298"/>
      <c r="AV107" s="298"/>
      <c r="AW107" s="298"/>
      <c r="AX107" s="298"/>
      <c r="AY107" s="298"/>
    </row>
    <row r="108" spans="41:51" ht="12.75">
      <c r="AO108" s="309"/>
      <c r="AP108" s="189"/>
      <c r="AQ108" s="298"/>
      <c r="AR108" s="298"/>
      <c r="AS108" s="298"/>
      <c r="AT108" s="298"/>
      <c r="AU108" s="298"/>
      <c r="AV108" s="298"/>
      <c r="AW108" s="298"/>
      <c r="AX108" s="298"/>
      <c r="AY108" s="298"/>
    </row>
    <row r="109" spans="41:51" ht="12.75">
      <c r="AO109" s="309"/>
      <c r="AP109" s="189"/>
      <c r="AQ109" s="298"/>
      <c r="AR109" s="298"/>
      <c r="AS109" s="298"/>
      <c r="AT109" s="298"/>
      <c r="AU109" s="298"/>
      <c r="AV109" s="298"/>
      <c r="AW109" s="298"/>
      <c r="AX109" s="298"/>
      <c r="AY109" s="298"/>
    </row>
  </sheetData>
  <sheetProtection/>
  <mergeCells count="24">
    <mergeCell ref="G7:O7"/>
    <mergeCell ref="A6:Y6"/>
    <mergeCell ref="G27:O27"/>
    <mergeCell ref="B28:I28"/>
    <mergeCell ref="N28:U28"/>
    <mergeCell ref="B8:I8"/>
    <mergeCell ref="N8:U8"/>
    <mergeCell ref="N9:U9"/>
    <mergeCell ref="A1:Y1"/>
    <mergeCell ref="A2:Y2"/>
    <mergeCell ref="A3:Y3"/>
    <mergeCell ref="A4:Y4"/>
    <mergeCell ref="A5:Y5"/>
    <mergeCell ref="A9:A10"/>
    <mergeCell ref="J9:J10"/>
    <mergeCell ref="V9:V10"/>
    <mergeCell ref="M9:M10"/>
    <mergeCell ref="B9:I9"/>
    <mergeCell ref="A29:A30"/>
    <mergeCell ref="B29:I29"/>
    <mergeCell ref="J29:J30"/>
    <mergeCell ref="M29:M30"/>
    <mergeCell ref="N29:U29"/>
    <mergeCell ref="V29:V30"/>
  </mergeCells>
  <printOptions/>
  <pageMargins left="0.75" right="0.75" top="1" bottom="1" header="0.5" footer="0.5"/>
  <pageSetup horizontalDpi="600" verticalDpi="600" orientation="landscape" scale="53" r:id="rId1"/>
  <headerFooter alignWithMargins="0">
    <oddFooter>&amp;L"&amp;F"&amp;R&amp;"Arial,Italic"&amp;A</oddFooter>
  </headerFooter>
</worksheet>
</file>

<file path=xl/worksheets/sheet27.xml><?xml version="1.0" encoding="utf-8"?>
<worksheet xmlns="http://schemas.openxmlformats.org/spreadsheetml/2006/main" xmlns:r="http://schemas.openxmlformats.org/officeDocument/2006/relationships">
  <dimension ref="A1:AC47"/>
  <sheetViews>
    <sheetView zoomScaleSheetLayoutView="85" zoomScalePageLayoutView="0" workbookViewId="0" topLeftCell="C1">
      <selection activeCell="V11" sqref="V11"/>
    </sheetView>
  </sheetViews>
  <sheetFormatPr defaultColWidth="9.140625" defaultRowHeight="12.75"/>
  <cols>
    <col min="1" max="1" width="6.7109375" style="52" bestFit="1" customWidth="1"/>
    <col min="2" max="2" width="8.8515625" style="52" customWidth="1"/>
    <col min="3" max="10" width="8.8515625" style="275" customWidth="1"/>
    <col min="11" max="11" width="17.7109375" style="275" bestFit="1" customWidth="1"/>
    <col min="12" max="12" width="4.57421875" style="275" customWidth="1"/>
    <col min="13" max="13" width="7.28125" style="275" customWidth="1"/>
    <col min="14" max="16" width="8.00390625" style="275" customWidth="1"/>
    <col min="17" max="17" width="7.7109375" style="275" customWidth="1"/>
    <col min="18" max="18" width="8.00390625" style="275" customWidth="1"/>
    <col min="19" max="21" width="7.8515625" style="275" bestFit="1" customWidth="1"/>
    <col min="22" max="22" width="7.8515625" style="275" customWidth="1"/>
    <col min="23" max="23" width="12.7109375" style="275" bestFit="1" customWidth="1"/>
    <col min="24" max="24" width="7.28125" style="275" customWidth="1"/>
    <col min="25" max="25" width="1.57421875" style="275" customWidth="1"/>
    <col min="26" max="26" width="11.00390625" style="275" customWidth="1"/>
    <col min="27" max="27" width="3.00390625" style="275" customWidth="1"/>
    <col min="28" max="16384" width="9.140625" style="275" customWidth="1"/>
  </cols>
  <sheetData>
    <row r="1" spans="1:26" s="189" customFormat="1" ht="15.75">
      <c r="A1" s="683" t="s">
        <v>126</v>
      </c>
      <c r="B1" s="683"/>
      <c r="C1" s="683"/>
      <c r="D1" s="683"/>
      <c r="E1" s="683"/>
      <c r="F1" s="683"/>
      <c r="G1" s="683"/>
      <c r="H1" s="683"/>
      <c r="I1" s="683"/>
      <c r="J1" s="683"/>
      <c r="K1" s="683"/>
      <c r="L1" s="683"/>
      <c r="M1" s="683"/>
      <c r="N1" s="683"/>
      <c r="O1" s="683"/>
      <c r="P1" s="683"/>
      <c r="Q1" s="683"/>
      <c r="R1" s="683"/>
      <c r="S1" s="683"/>
      <c r="T1" s="683"/>
      <c r="U1" s="683"/>
      <c r="V1" s="683"/>
      <c r="W1" s="683"/>
      <c r="X1" s="683"/>
      <c r="Y1" s="683"/>
      <c r="Z1" s="60"/>
    </row>
    <row r="2" spans="1:27" ht="18">
      <c r="A2" s="751" t="s">
        <v>80</v>
      </c>
      <c r="B2" s="751"/>
      <c r="C2" s="751"/>
      <c r="D2" s="751"/>
      <c r="E2" s="751"/>
      <c r="F2" s="751"/>
      <c r="G2" s="751"/>
      <c r="H2" s="751"/>
      <c r="I2" s="751"/>
      <c r="J2" s="751"/>
      <c r="K2" s="751"/>
      <c r="L2" s="751"/>
      <c r="M2" s="751"/>
      <c r="N2" s="751"/>
      <c r="O2" s="751"/>
      <c r="P2" s="751"/>
      <c r="Q2" s="751"/>
      <c r="R2" s="751"/>
      <c r="S2" s="751"/>
      <c r="T2" s="751"/>
      <c r="U2" s="751"/>
      <c r="V2" s="751"/>
      <c r="W2" s="751"/>
      <c r="X2" s="751"/>
      <c r="Y2" s="751"/>
      <c r="Z2" s="61"/>
      <c r="AA2" s="38"/>
    </row>
    <row r="3" spans="1:26" ht="15.75">
      <c r="A3" s="750" t="s">
        <v>102</v>
      </c>
      <c r="B3" s="750"/>
      <c r="C3" s="750"/>
      <c r="D3" s="750"/>
      <c r="E3" s="750"/>
      <c r="F3" s="750"/>
      <c r="G3" s="750"/>
      <c r="H3" s="750"/>
      <c r="I3" s="750"/>
      <c r="J3" s="750"/>
      <c r="K3" s="750"/>
      <c r="L3" s="750"/>
      <c r="M3" s="750"/>
      <c r="N3" s="750"/>
      <c r="O3" s="750"/>
      <c r="P3" s="750"/>
      <c r="Q3" s="750"/>
      <c r="R3" s="750"/>
      <c r="S3" s="750"/>
      <c r="T3" s="750"/>
      <c r="U3" s="750"/>
      <c r="V3" s="750"/>
      <c r="W3" s="750"/>
      <c r="X3" s="750"/>
      <c r="Y3" s="750"/>
      <c r="Z3" s="62"/>
    </row>
    <row r="4" spans="1:26" ht="15.75">
      <c r="A4" s="750" t="s">
        <v>131</v>
      </c>
      <c r="B4" s="750"/>
      <c r="C4" s="750"/>
      <c r="D4" s="750"/>
      <c r="E4" s="750"/>
      <c r="F4" s="750"/>
      <c r="G4" s="750"/>
      <c r="H4" s="750"/>
      <c r="I4" s="750"/>
      <c r="J4" s="750"/>
      <c r="K4" s="750"/>
      <c r="L4" s="750"/>
      <c r="M4" s="750"/>
      <c r="N4" s="750"/>
      <c r="O4" s="750"/>
      <c r="P4" s="750"/>
      <c r="Q4" s="750"/>
      <c r="R4" s="750"/>
      <c r="S4" s="750"/>
      <c r="T4" s="750"/>
      <c r="U4" s="750"/>
      <c r="V4" s="750"/>
      <c r="W4" s="750"/>
      <c r="X4" s="750"/>
      <c r="Y4" s="750"/>
      <c r="Z4" s="62"/>
    </row>
    <row r="5" spans="1:26" ht="15">
      <c r="A5" s="749" t="s">
        <v>100</v>
      </c>
      <c r="B5" s="749"/>
      <c r="C5" s="749"/>
      <c r="D5" s="749"/>
      <c r="E5" s="749"/>
      <c r="F5" s="749"/>
      <c r="G5" s="749"/>
      <c r="H5" s="749"/>
      <c r="I5" s="749"/>
      <c r="J5" s="749"/>
      <c r="K5" s="749"/>
      <c r="L5" s="749"/>
      <c r="M5" s="749"/>
      <c r="N5" s="749"/>
      <c r="O5" s="749"/>
      <c r="P5" s="749"/>
      <c r="Q5" s="749"/>
      <c r="R5" s="749"/>
      <c r="S5" s="749"/>
      <c r="T5" s="749"/>
      <c r="U5" s="749"/>
      <c r="V5" s="749"/>
      <c r="W5" s="749"/>
      <c r="X5" s="749"/>
      <c r="Y5" s="749"/>
      <c r="Z5" s="63"/>
    </row>
    <row r="6" spans="1:26" ht="12.75">
      <c r="A6" s="748" t="s">
        <v>184</v>
      </c>
      <c r="B6" s="748"/>
      <c r="C6" s="748"/>
      <c r="D6" s="748"/>
      <c r="E6" s="748"/>
      <c r="F6" s="748"/>
      <c r="G6" s="748"/>
      <c r="H6" s="748"/>
      <c r="I6" s="748"/>
      <c r="J6" s="748"/>
      <c r="K6" s="748"/>
      <c r="L6" s="748"/>
      <c r="M6" s="748"/>
      <c r="N6" s="748"/>
      <c r="O6" s="748"/>
      <c r="P6" s="748"/>
      <c r="Q6" s="748"/>
      <c r="R6" s="748"/>
      <c r="S6" s="748"/>
      <c r="T6" s="748"/>
      <c r="U6" s="748"/>
      <c r="V6" s="748"/>
      <c r="W6" s="748"/>
      <c r="X6" s="748"/>
      <c r="Y6" s="748"/>
      <c r="Z6" s="415"/>
    </row>
    <row r="7" spans="1:26" ht="15">
      <c r="A7" s="67"/>
      <c r="B7" s="68"/>
      <c r="C7" s="68"/>
      <c r="D7" s="68"/>
      <c r="E7" s="68"/>
      <c r="F7" s="68"/>
      <c r="G7" s="747" t="s">
        <v>132</v>
      </c>
      <c r="H7" s="747"/>
      <c r="I7" s="747"/>
      <c r="J7" s="747"/>
      <c r="K7" s="747"/>
      <c r="L7" s="747"/>
      <c r="M7" s="747"/>
      <c r="N7" s="747"/>
      <c r="O7" s="747"/>
      <c r="P7" s="68"/>
      <c r="Q7" s="68"/>
      <c r="R7" s="68"/>
      <c r="S7" s="68"/>
      <c r="T7" s="68"/>
      <c r="U7" s="68"/>
      <c r="V7" s="68"/>
      <c r="W7" s="40"/>
      <c r="X7" s="40"/>
      <c r="Y7" s="40"/>
      <c r="Z7" s="40"/>
    </row>
    <row r="8" spans="1:26" ht="15">
      <c r="A8" s="69"/>
      <c r="B8" s="746" t="s">
        <v>70</v>
      </c>
      <c r="C8" s="746"/>
      <c r="D8" s="746"/>
      <c r="E8" s="746"/>
      <c r="F8" s="746"/>
      <c r="G8" s="746"/>
      <c r="H8" s="746"/>
      <c r="I8" s="746"/>
      <c r="J8" s="70"/>
      <c r="K8" s="70"/>
      <c r="L8" s="71"/>
      <c r="M8" s="71"/>
      <c r="N8" s="746" t="s">
        <v>257</v>
      </c>
      <c r="O8" s="746"/>
      <c r="P8" s="746"/>
      <c r="Q8" s="746"/>
      <c r="R8" s="746"/>
      <c r="S8" s="746"/>
      <c r="T8" s="746"/>
      <c r="U8" s="746"/>
      <c r="V8" s="70"/>
      <c r="W8" s="55"/>
      <c r="X8" s="55"/>
      <c r="Y8" s="55"/>
      <c r="Z8" s="55"/>
    </row>
    <row r="9" spans="1:26" ht="15" customHeight="1">
      <c r="A9" s="741" t="s">
        <v>11</v>
      </c>
      <c r="B9" s="743" t="s">
        <v>28</v>
      </c>
      <c r="C9" s="744"/>
      <c r="D9" s="744"/>
      <c r="E9" s="744"/>
      <c r="F9" s="744"/>
      <c r="G9" s="744"/>
      <c r="H9" s="744"/>
      <c r="I9" s="745"/>
      <c r="J9" s="739" t="s">
        <v>84</v>
      </c>
      <c r="K9" s="70"/>
      <c r="L9" s="71"/>
      <c r="M9" s="741" t="s">
        <v>11</v>
      </c>
      <c r="N9" s="743" t="s">
        <v>28</v>
      </c>
      <c r="O9" s="744"/>
      <c r="P9" s="744"/>
      <c r="Q9" s="744"/>
      <c r="R9" s="744"/>
      <c r="S9" s="744"/>
      <c r="T9" s="744"/>
      <c r="U9" s="745"/>
      <c r="V9" s="739" t="s">
        <v>84</v>
      </c>
      <c r="W9" s="55"/>
      <c r="X9" s="55"/>
      <c r="Y9" s="55"/>
      <c r="Z9" s="55"/>
    </row>
    <row r="10" spans="1:26" ht="12.75" customHeight="1">
      <c r="A10" s="742"/>
      <c r="B10" s="72" t="s">
        <v>115</v>
      </c>
      <c r="C10" s="73" t="s">
        <v>116</v>
      </c>
      <c r="D10" s="73" t="s">
        <v>117</v>
      </c>
      <c r="E10" s="73" t="s">
        <v>118</v>
      </c>
      <c r="F10" s="73" t="s">
        <v>119</v>
      </c>
      <c r="G10" s="73" t="s">
        <v>34</v>
      </c>
      <c r="H10" s="73" t="s">
        <v>35</v>
      </c>
      <c r="I10" s="665" t="s">
        <v>36</v>
      </c>
      <c r="J10" s="740"/>
      <c r="K10" s="73" t="s">
        <v>129</v>
      </c>
      <c r="L10" s="74"/>
      <c r="M10" s="742"/>
      <c r="N10" s="72" t="s">
        <v>115</v>
      </c>
      <c r="O10" s="73" t="s">
        <v>116</v>
      </c>
      <c r="P10" s="73" t="s">
        <v>117</v>
      </c>
      <c r="Q10" s="73" t="s">
        <v>118</v>
      </c>
      <c r="R10" s="73" t="s">
        <v>119</v>
      </c>
      <c r="S10" s="73" t="s">
        <v>34</v>
      </c>
      <c r="T10" s="73" t="s">
        <v>35</v>
      </c>
      <c r="U10" s="665" t="s">
        <v>36</v>
      </c>
      <c r="V10" s="740"/>
      <c r="W10" s="73" t="s">
        <v>128</v>
      </c>
      <c r="X10" s="56"/>
      <c r="Y10" s="53"/>
      <c r="Z10" s="53"/>
    </row>
    <row r="11" spans="1:26" ht="12.75">
      <c r="A11" s="64" t="s">
        <v>16</v>
      </c>
      <c r="B11" s="288">
        <v>0.6353134776243796</v>
      </c>
      <c r="C11" s="289">
        <v>0.9732104374721751</v>
      </c>
      <c r="D11" s="289">
        <v>0.639157018407621</v>
      </c>
      <c r="E11" s="289">
        <v>1.0602892993170059</v>
      </c>
      <c r="F11" s="289">
        <v>1.0487881171609876</v>
      </c>
      <c r="G11" s="289">
        <v>0.7618290789201934</v>
      </c>
      <c r="H11" s="289">
        <v>0.8956957527984467</v>
      </c>
      <c r="I11" s="289">
        <v>0.9219743316644388</v>
      </c>
      <c r="J11" s="290">
        <v>0.8873126911414755</v>
      </c>
      <c r="K11" s="291">
        <v>83.338152</v>
      </c>
      <c r="L11" s="289"/>
      <c r="M11" s="66" t="s">
        <v>16</v>
      </c>
      <c r="N11" s="292">
        <v>1.242333581652153</v>
      </c>
      <c r="O11" s="292">
        <v>1.1090139598452449</v>
      </c>
      <c r="P11" s="292">
        <v>1.151176650123176</v>
      </c>
      <c r="Q11" s="292">
        <v>0.8267856503082532</v>
      </c>
      <c r="R11" s="292">
        <v>1.1906534800877864</v>
      </c>
      <c r="S11" s="292">
        <v>0.9829565786251286</v>
      </c>
      <c r="T11" s="292">
        <v>0.9932150609895846</v>
      </c>
      <c r="U11" s="292">
        <v>0.9261033631087449</v>
      </c>
      <c r="V11" s="290">
        <v>1.0123973060280438</v>
      </c>
      <c r="W11" s="293">
        <v>879</v>
      </c>
      <c r="X11" s="294"/>
      <c r="Y11" s="294"/>
      <c r="Z11" s="661"/>
    </row>
    <row r="12" spans="1:26" ht="12.75">
      <c r="A12" s="64" t="s">
        <v>17</v>
      </c>
      <c r="B12" s="295">
        <v>1.0661387072838637</v>
      </c>
      <c r="C12" s="289">
        <v>0.7358040208979977</v>
      </c>
      <c r="D12" s="289">
        <v>1.2339770602749225</v>
      </c>
      <c r="E12" s="289">
        <v>1.1281003296840237</v>
      </c>
      <c r="F12" s="289">
        <v>0.8941827995976064</v>
      </c>
      <c r="G12" s="289">
        <v>0.8530921065141012</v>
      </c>
      <c r="H12" s="289">
        <v>0.9392058467956427</v>
      </c>
      <c r="I12" s="289">
        <v>0.909886054100672</v>
      </c>
      <c r="J12" s="296">
        <v>0.940664016274466</v>
      </c>
      <c r="K12" s="291">
        <v>262.167422</v>
      </c>
      <c r="L12" s="289"/>
      <c r="M12" s="66" t="s">
        <v>17</v>
      </c>
      <c r="N12" s="292">
        <v>1.2786897894236315</v>
      </c>
      <c r="O12" s="292">
        <v>1.1564816866498995</v>
      </c>
      <c r="P12" s="292">
        <v>1.1395811401144642</v>
      </c>
      <c r="Q12" s="292">
        <v>1.0214626132336206</v>
      </c>
      <c r="R12" s="292">
        <v>1.0367182516240157</v>
      </c>
      <c r="S12" s="292">
        <v>0.9524929204025484</v>
      </c>
      <c r="T12" s="292">
        <v>0.9459547192386477</v>
      </c>
      <c r="U12" s="292">
        <v>0.8837330743164561</v>
      </c>
      <c r="V12" s="296">
        <v>0.9610003988332386</v>
      </c>
      <c r="W12" s="293">
        <v>1861</v>
      </c>
      <c r="X12" s="294"/>
      <c r="Y12" s="294"/>
      <c r="Z12" s="661"/>
    </row>
    <row r="13" spans="1:26" ht="12.75">
      <c r="A13" s="64" t="s">
        <v>18</v>
      </c>
      <c r="B13" s="295">
        <v>1.3640385322867348</v>
      </c>
      <c r="C13" s="289">
        <v>0.616731372426286</v>
      </c>
      <c r="D13" s="289">
        <v>1.100969245581361</v>
      </c>
      <c r="E13" s="289">
        <v>0.9185067543085451</v>
      </c>
      <c r="F13" s="289">
        <v>1.0617103971074817</v>
      </c>
      <c r="G13" s="289">
        <v>0.8485527653796581</v>
      </c>
      <c r="H13" s="289">
        <v>0.8376801120559837</v>
      </c>
      <c r="I13" s="289">
        <v>1.0557150158776063</v>
      </c>
      <c r="J13" s="296">
        <v>0.945940700982246</v>
      </c>
      <c r="K13" s="291">
        <v>605.089912</v>
      </c>
      <c r="L13" s="289"/>
      <c r="M13" s="66" t="s">
        <v>18</v>
      </c>
      <c r="N13" s="292">
        <v>1.4589405128403867</v>
      </c>
      <c r="O13" s="292">
        <v>0.742341137382815</v>
      </c>
      <c r="P13" s="292">
        <v>1.05262260255209</v>
      </c>
      <c r="Q13" s="292">
        <v>1.1500455867000605</v>
      </c>
      <c r="R13" s="292">
        <v>1.042144683058805</v>
      </c>
      <c r="S13" s="292">
        <v>0.8969407067233244</v>
      </c>
      <c r="T13" s="292">
        <v>0.961970090766888</v>
      </c>
      <c r="U13" s="292">
        <v>1.0424932080712994</v>
      </c>
      <c r="V13" s="296">
        <v>0.9931841135920968</v>
      </c>
      <c r="W13" s="293">
        <v>3374</v>
      </c>
      <c r="X13" s="294"/>
      <c r="Y13" s="294"/>
      <c r="Z13" s="661"/>
    </row>
    <row r="14" spans="1:26" ht="12.75">
      <c r="A14" s="64" t="s">
        <v>19</v>
      </c>
      <c r="B14" s="295">
        <v>0.7907586234364368</v>
      </c>
      <c r="C14" s="289">
        <v>0.5823236359460715</v>
      </c>
      <c r="D14" s="289">
        <v>1.0581055465168803</v>
      </c>
      <c r="E14" s="289">
        <v>0.8090378045827277</v>
      </c>
      <c r="F14" s="289">
        <v>0.8456339491510948</v>
      </c>
      <c r="G14" s="289">
        <v>0.7681873209222699</v>
      </c>
      <c r="H14" s="289">
        <v>0.9047332288070258</v>
      </c>
      <c r="I14" s="289">
        <v>1.0352085594935292</v>
      </c>
      <c r="J14" s="296">
        <v>0.8605544415830724</v>
      </c>
      <c r="K14" s="291">
        <v>868.714648</v>
      </c>
      <c r="L14" s="289"/>
      <c r="M14" s="66" t="s">
        <v>19</v>
      </c>
      <c r="N14" s="292">
        <v>1.097823706157215</v>
      </c>
      <c r="O14" s="292">
        <v>0.9676605367439313</v>
      </c>
      <c r="P14" s="292">
        <v>1.1936302948307993</v>
      </c>
      <c r="Q14" s="292">
        <v>0.9950104747466337</v>
      </c>
      <c r="R14" s="292">
        <v>0.954773812435201</v>
      </c>
      <c r="S14" s="292">
        <v>0.9222034899638332</v>
      </c>
      <c r="T14" s="292">
        <v>0.9699793361187565</v>
      </c>
      <c r="U14" s="292">
        <v>1.098374813269601</v>
      </c>
      <c r="V14" s="296">
        <v>0.9959599837561172</v>
      </c>
      <c r="W14" s="293">
        <v>4686</v>
      </c>
      <c r="X14" s="294"/>
      <c r="Y14" s="294"/>
      <c r="Z14" s="661"/>
    </row>
    <row r="15" spans="1:26" ht="12.75">
      <c r="A15" s="64" t="s">
        <v>104</v>
      </c>
      <c r="B15" s="295">
        <v>0.5317362574478569</v>
      </c>
      <c r="C15" s="289">
        <v>1.5167993847398134</v>
      </c>
      <c r="D15" s="289">
        <v>0.8594949427782886</v>
      </c>
      <c r="E15" s="289">
        <v>0.8798787511364994</v>
      </c>
      <c r="F15" s="289">
        <v>0.8891943810986319</v>
      </c>
      <c r="G15" s="289">
        <v>0.8520859381471797</v>
      </c>
      <c r="H15" s="289">
        <v>1.0449999175497493</v>
      </c>
      <c r="I15" s="289">
        <v>0.9129429210226254</v>
      </c>
      <c r="J15" s="296">
        <v>0.9321029378367808</v>
      </c>
      <c r="K15" s="291">
        <v>1107.9351159999999</v>
      </c>
      <c r="L15" s="289"/>
      <c r="M15" s="66" t="s">
        <v>104</v>
      </c>
      <c r="N15" s="292">
        <v>0.9211566390366023</v>
      </c>
      <c r="O15" s="292">
        <v>1.0929600436113367</v>
      </c>
      <c r="P15" s="292">
        <v>1.19167079992009</v>
      </c>
      <c r="Q15" s="292">
        <v>1.0002265443662814</v>
      </c>
      <c r="R15" s="292">
        <v>1.007711025122032</v>
      </c>
      <c r="S15" s="292">
        <v>0.9448878617293374</v>
      </c>
      <c r="T15" s="292">
        <v>1.002227902154582</v>
      </c>
      <c r="U15" s="292">
        <v>1.057073217992071</v>
      </c>
      <c r="V15" s="296">
        <v>1.0076497993689384</v>
      </c>
      <c r="W15" s="293">
        <v>5388</v>
      </c>
      <c r="X15" s="294"/>
      <c r="Y15" s="294"/>
      <c r="Z15" s="661"/>
    </row>
    <row r="16" spans="1:26" ht="12.75">
      <c r="A16" s="64" t="s">
        <v>105</v>
      </c>
      <c r="B16" s="295">
        <v>1.0251157062489604</v>
      </c>
      <c r="C16" s="289">
        <v>0.8524750774508547</v>
      </c>
      <c r="D16" s="289">
        <v>1.0543587511955557</v>
      </c>
      <c r="E16" s="289">
        <v>0.860641064909549</v>
      </c>
      <c r="F16" s="289">
        <v>0.8139672382299846</v>
      </c>
      <c r="G16" s="289">
        <v>0.8616946620894385</v>
      </c>
      <c r="H16" s="289">
        <v>0.9699063846281657</v>
      </c>
      <c r="I16" s="289">
        <v>0.8684555366439053</v>
      </c>
      <c r="J16" s="296">
        <v>0.8866193358007775</v>
      </c>
      <c r="K16" s="291">
        <v>1106.852162</v>
      </c>
      <c r="L16" s="289"/>
      <c r="M16" s="66" t="s">
        <v>105</v>
      </c>
      <c r="N16" s="292">
        <v>1.300609986083473</v>
      </c>
      <c r="O16" s="292">
        <v>1.1492385117361275</v>
      </c>
      <c r="P16" s="292">
        <v>1.1509303319262525</v>
      </c>
      <c r="Q16" s="292">
        <v>1.010728091294687</v>
      </c>
      <c r="R16" s="292">
        <v>0.9221829322305004</v>
      </c>
      <c r="S16" s="292">
        <v>0.9425470448793773</v>
      </c>
      <c r="T16" s="292">
        <v>1.0840585153578064</v>
      </c>
      <c r="U16" s="292">
        <v>1.001033542272291</v>
      </c>
      <c r="V16" s="296">
        <v>1.0095485788531153</v>
      </c>
      <c r="W16" s="293">
        <v>5755</v>
      </c>
      <c r="X16" s="294"/>
      <c r="Y16" s="294"/>
      <c r="Z16" s="661"/>
    </row>
    <row r="17" spans="1:26" ht="12.75">
      <c r="A17" s="64" t="s">
        <v>106</v>
      </c>
      <c r="B17" s="295">
        <v>0.6720512246735946</v>
      </c>
      <c r="C17" s="289">
        <v>0.6191942239853803</v>
      </c>
      <c r="D17" s="289">
        <v>0.8430689831740611</v>
      </c>
      <c r="E17" s="289">
        <v>0.9360507625396047</v>
      </c>
      <c r="F17" s="289">
        <v>0.8750113611065998</v>
      </c>
      <c r="G17" s="289">
        <v>0.8191928009988149</v>
      </c>
      <c r="H17" s="289">
        <v>0.9308342557825217</v>
      </c>
      <c r="I17" s="289">
        <v>0.8049051303784719</v>
      </c>
      <c r="J17" s="296">
        <v>0.8559470117466313</v>
      </c>
      <c r="K17" s="291">
        <v>1072.0796619999999</v>
      </c>
      <c r="L17" s="289"/>
      <c r="M17" s="66" t="s">
        <v>106</v>
      </c>
      <c r="N17" s="292">
        <v>0.9746309301992261</v>
      </c>
      <c r="O17" s="292">
        <v>0.9248711990736492</v>
      </c>
      <c r="P17" s="292">
        <v>1.0067827438650698</v>
      </c>
      <c r="Q17" s="292">
        <v>1.016772853173948</v>
      </c>
      <c r="R17" s="292">
        <v>0.9680030951783842</v>
      </c>
      <c r="S17" s="292">
        <v>0.9632862406187357</v>
      </c>
      <c r="T17" s="292">
        <v>0.9976205440363066</v>
      </c>
      <c r="U17" s="292">
        <v>0.9493477480737496</v>
      </c>
      <c r="V17" s="296">
        <v>0.9750222080185971</v>
      </c>
      <c r="W17" s="293">
        <v>5875</v>
      </c>
      <c r="X17" s="294"/>
      <c r="Y17" s="294"/>
      <c r="Z17" s="661"/>
    </row>
    <row r="18" spans="1:26" ht="12.75">
      <c r="A18" s="64" t="s">
        <v>107</v>
      </c>
      <c r="B18" s="295">
        <v>0.783221648558232</v>
      </c>
      <c r="C18" s="289">
        <v>0.8558888975916638</v>
      </c>
      <c r="D18" s="289">
        <v>1.115560835019745</v>
      </c>
      <c r="E18" s="289">
        <v>0.9464244682639411</v>
      </c>
      <c r="F18" s="289">
        <v>0.8063279759776905</v>
      </c>
      <c r="G18" s="289">
        <v>0.9715042471148648</v>
      </c>
      <c r="H18" s="289">
        <v>1.0244201173927046</v>
      </c>
      <c r="I18" s="289">
        <v>0.9281638594373154</v>
      </c>
      <c r="J18" s="296">
        <v>0.9325813666702895</v>
      </c>
      <c r="K18" s="291">
        <v>1149.466633</v>
      </c>
      <c r="L18" s="289"/>
      <c r="M18" s="66" t="s">
        <v>107</v>
      </c>
      <c r="N18" s="292">
        <v>0.90738540872057</v>
      </c>
      <c r="O18" s="292">
        <v>0.9021036350775862</v>
      </c>
      <c r="P18" s="292">
        <v>1.1392372288917463</v>
      </c>
      <c r="Q18" s="292">
        <v>0.9854579675889478</v>
      </c>
      <c r="R18" s="292">
        <v>0.9808590657955951</v>
      </c>
      <c r="S18" s="292">
        <v>1.0319607852527009</v>
      </c>
      <c r="T18" s="292">
        <v>1.0103110256489216</v>
      </c>
      <c r="U18" s="292">
        <v>0.9787642015254299</v>
      </c>
      <c r="V18" s="296">
        <v>1.000017274334553</v>
      </c>
      <c r="W18" s="293">
        <v>6251</v>
      </c>
      <c r="X18" s="294"/>
      <c r="Y18" s="294"/>
      <c r="Z18" s="661"/>
    </row>
    <row r="19" spans="1:26" ht="12.75">
      <c r="A19" s="64" t="s">
        <v>108</v>
      </c>
      <c r="B19" s="295">
        <v>0.3801956987026155</v>
      </c>
      <c r="C19" s="289">
        <v>0.903053526555339</v>
      </c>
      <c r="D19" s="289">
        <v>0.7990665949068992</v>
      </c>
      <c r="E19" s="289">
        <v>0.7871352196262568</v>
      </c>
      <c r="F19" s="289">
        <v>0.8436574496350441</v>
      </c>
      <c r="G19" s="289">
        <v>0.9778827650728824</v>
      </c>
      <c r="H19" s="289">
        <v>0.9740263395164744</v>
      </c>
      <c r="I19" s="289">
        <v>0.9553332208736233</v>
      </c>
      <c r="J19" s="296">
        <v>0.8954546572874525</v>
      </c>
      <c r="K19" s="291">
        <v>869.050319</v>
      </c>
      <c r="L19" s="289"/>
      <c r="M19" s="66" t="s">
        <v>108</v>
      </c>
      <c r="N19" s="292">
        <v>0.7952709618007011</v>
      </c>
      <c r="O19" s="292">
        <v>1.2509335091311893</v>
      </c>
      <c r="P19" s="292">
        <v>0.9661099935851807</v>
      </c>
      <c r="Q19" s="292">
        <v>1.0889082714561205</v>
      </c>
      <c r="R19" s="292">
        <v>0.9153297104591396</v>
      </c>
      <c r="S19" s="292">
        <v>1.0327788993014169</v>
      </c>
      <c r="T19" s="292">
        <v>1.0266922529707232</v>
      </c>
      <c r="U19" s="292">
        <v>1.0152200343684024</v>
      </c>
      <c r="V19" s="296">
        <v>1.0112070999450742</v>
      </c>
      <c r="W19" s="293">
        <v>5320</v>
      </c>
      <c r="X19" s="294"/>
      <c r="Y19" s="294"/>
      <c r="Z19" s="661"/>
    </row>
    <row r="20" spans="1:26" ht="12.75">
      <c r="A20" s="64" t="s">
        <v>109</v>
      </c>
      <c r="B20" s="295">
        <v>0.6269095961771368</v>
      </c>
      <c r="C20" s="289">
        <v>0.7537266359022671</v>
      </c>
      <c r="D20" s="289">
        <v>1.7765108234825446</v>
      </c>
      <c r="E20" s="289">
        <v>0.9339611868206718</v>
      </c>
      <c r="F20" s="289">
        <v>0.8086013684965044</v>
      </c>
      <c r="G20" s="289">
        <v>0.8583482479308367</v>
      </c>
      <c r="H20" s="289">
        <v>0.9534375799559731</v>
      </c>
      <c r="I20" s="289">
        <v>1.117281969092544</v>
      </c>
      <c r="J20" s="296">
        <v>0.9323197789696044</v>
      </c>
      <c r="K20" s="291">
        <v>583.73582</v>
      </c>
      <c r="L20" s="289"/>
      <c r="M20" s="66" t="s">
        <v>109</v>
      </c>
      <c r="N20" s="292">
        <v>0.971435076129374</v>
      </c>
      <c r="O20" s="292">
        <v>1.0327074331897867</v>
      </c>
      <c r="P20" s="292">
        <v>1.2780711798200182</v>
      </c>
      <c r="Q20" s="292">
        <v>1.1697828486816073</v>
      </c>
      <c r="R20" s="292">
        <v>0.9547886263383907</v>
      </c>
      <c r="S20" s="292">
        <v>0.9737108704421661</v>
      </c>
      <c r="T20" s="292">
        <v>1.059179679879547</v>
      </c>
      <c r="U20" s="292">
        <v>1.017057186516043</v>
      </c>
      <c r="V20" s="296">
        <v>1.024988219172393</v>
      </c>
      <c r="W20" s="293">
        <v>3332</v>
      </c>
      <c r="X20" s="294"/>
      <c r="Y20" s="294"/>
      <c r="Z20" s="661"/>
    </row>
    <row r="21" spans="1:26" ht="12.75">
      <c r="A21" s="64" t="s">
        <v>110</v>
      </c>
      <c r="B21" s="295">
        <v>0.3923218475241876</v>
      </c>
      <c r="C21" s="289">
        <v>1.2004161509217506</v>
      </c>
      <c r="D21" s="289">
        <v>0.6814255318201171</v>
      </c>
      <c r="E21" s="289">
        <v>0.6798264964392133</v>
      </c>
      <c r="F21" s="289">
        <v>0.8127415885841587</v>
      </c>
      <c r="G21" s="289">
        <v>1.2886720446084785</v>
      </c>
      <c r="H21" s="289">
        <v>0.9353199077905322</v>
      </c>
      <c r="I21" s="289">
        <v>0.878403863800233</v>
      </c>
      <c r="J21" s="296">
        <v>0.9177969445703701</v>
      </c>
      <c r="K21" s="291">
        <v>347.663139</v>
      </c>
      <c r="L21" s="289"/>
      <c r="M21" s="66" t="s">
        <v>110</v>
      </c>
      <c r="N21" s="292">
        <v>1.0656156144655984</v>
      </c>
      <c r="O21" s="292">
        <v>1.3084203968507924</v>
      </c>
      <c r="P21" s="292">
        <v>1.0596897604400382</v>
      </c>
      <c r="Q21" s="292">
        <v>0.8238364312863917</v>
      </c>
      <c r="R21" s="292">
        <v>0.9233770686677308</v>
      </c>
      <c r="S21" s="292">
        <v>1.0572896858681289</v>
      </c>
      <c r="T21" s="292">
        <v>0.9337408667578221</v>
      </c>
      <c r="U21" s="292">
        <v>0.9924413052762538</v>
      </c>
      <c r="V21" s="296">
        <v>0.976046697685391</v>
      </c>
      <c r="W21" s="293">
        <v>1600</v>
      </c>
      <c r="X21" s="294"/>
      <c r="Y21" s="294"/>
      <c r="Z21" s="661"/>
    </row>
    <row r="22" spans="1:26" ht="12.75">
      <c r="A22" s="64" t="s">
        <v>111</v>
      </c>
      <c r="B22" s="295">
        <v>0.5920252954870218</v>
      </c>
      <c r="C22" s="289">
        <v>0.12420973305027944</v>
      </c>
      <c r="D22" s="289">
        <v>0.5376897416520903</v>
      </c>
      <c r="E22" s="289">
        <v>1.2519763158470418</v>
      </c>
      <c r="F22" s="289">
        <v>1.002950286484111</v>
      </c>
      <c r="G22" s="289">
        <v>0.9298572566993519</v>
      </c>
      <c r="H22" s="289">
        <v>0.8850002581569945</v>
      </c>
      <c r="I22" s="289">
        <v>0.4681933823358227</v>
      </c>
      <c r="J22" s="296">
        <v>0.7978717363594889</v>
      </c>
      <c r="K22" s="291">
        <v>205.61210499999999</v>
      </c>
      <c r="L22" s="289"/>
      <c r="M22" s="66" t="s">
        <v>111</v>
      </c>
      <c r="N22" s="292">
        <v>0.8821049140300553</v>
      </c>
      <c r="O22" s="292">
        <v>0.6767002863672575</v>
      </c>
      <c r="P22" s="292">
        <v>0.8629260305036508</v>
      </c>
      <c r="Q22" s="292">
        <v>0.9656842230148637</v>
      </c>
      <c r="R22" s="292">
        <v>1.0777413842602066</v>
      </c>
      <c r="S22" s="292">
        <v>0.9874240227038675</v>
      </c>
      <c r="T22" s="292">
        <v>0.9775054278704173</v>
      </c>
      <c r="U22" s="292">
        <v>0.409258519057123</v>
      </c>
      <c r="V22" s="296">
        <v>0.9811798459924392</v>
      </c>
      <c r="W22" s="293">
        <v>698</v>
      </c>
      <c r="X22" s="294"/>
      <c r="Y22" s="294"/>
      <c r="Z22" s="661"/>
    </row>
    <row r="23" spans="1:29" ht="12.75">
      <c r="A23" s="64" t="s">
        <v>112</v>
      </c>
      <c r="B23" s="295">
        <v>0.15834184079759572</v>
      </c>
      <c r="C23" s="289">
        <v>0.11167440578867115</v>
      </c>
      <c r="D23" s="289">
        <v>0.1650870429991641</v>
      </c>
      <c r="E23" s="289">
        <v>0.5200061253537345</v>
      </c>
      <c r="F23" s="289">
        <v>0.5103244287711908</v>
      </c>
      <c r="G23" s="289">
        <v>1.3392954622271203</v>
      </c>
      <c r="H23" s="289">
        <v>2.118260562672925</v>
      </c>
      <c r="I23" s="289"/>
      <c r="J23" s="296">
        <v>0.3944195186160397</v>
      </c>
      <c r="K23" s="291">
        <v>59.866961999999994</v>
      </c>
      <c r="L23" s="289"/>
      <c r="M23" s="66" t="s">
        <v>112</v>
      </c>
      <c r="N23" s="292">
        <v>0.6342150566882561</v>
      </c>
      <c r="O23" s="292">
        <v>0.54563286819647</v>
      </c>
      <c r="P23" s="292">
        <v>0.5809396039695992</v>
      </c>
      <c r="Q23" s="292">
        <v>0.6066428256036206</v>
      </c>
      <c r="R23" s="292">
        <v>0.707709873414294</v>
      </c>
      <c r="S23" s="292">
        <v>0.9747883462466338</v>
      </c>
      <c r="T23" s="292">
        <v>2.1252823589419743</v>
      </c>
      <c r="U23" s="292"/>
      <c r="V23" s="296">
        <v>0.7411552097594072</v>
      </c>
      <c r="W23" s="293">
        <v>190</v>
      </c>
      <c r="X23" s="297"/>
      <c r="Y23" s="297"/>
      <c r="Z23" s="661"/>
      <c r="AC23" s="298"/>
    </row>
    <row r="24" spans="1:29" ht="12.75">
      <c r="A24" s="66" t="s">
        <v>113</v>
      </c>
      <c r="B24" s="295">
        <v>0.07696533184443229</v>
      </c>
      <c r="C24" s="289">
        <v>1.2133440972138703</v>
      </c>
      <c r="D24" s="289">
        <v>1.083762884075163</v>
      </c>
      <c r="E24" s="289">
        <v>0.2912178348062059</v>
      </c>
      <c r="F24" s="289">
        <v>0.8673538773830861</v>
      </c>
      <c r="G24" s="289">
        <v>1.4643378705435481</v>
      </c>
      <c r="H24" s="289"/>
      <c r="I24" s="289"/>
      <c r="J24" s="296">
        <v>0.7807526453155491</v>
      </c>
      <c r="K24" s="291">
        <v>35.335291</v>
      </c>
      <c r="L24" s="289"/>
      <c r="M24" s="66" t="s">
        <v>113</v>
      </c>
      <c r="N24" s="292">
        <v>0.45653761869978077</v>
      </c>
      <c r="O24" s="292">
        <v>0.6786044499486806</v>
      </c>
      <c r="P24" s="292">
        <v>0.22581264324989558</v>
      </c>
      <c r="Q24" s="292">
        <v>0.45528555225283834</v>
      </c>
      <c r="R24" s="292">
        <v>0.6486636555699774</v>
      </c>
      <c r="S24" s="292">
        <v>0.7911877508312417</v>
      </c>
      <c r="T24" s="292"/>
      <c r="U24" s="292"/>
      <c r="V24" s="296">
        <v>0.5049349820470366</v>
      </c>
      <c r="W24" s="293">
        <v>30</v>
      </c>
      <c r="X24" s="297"/>
      <c r="Y24" s="297"/>
      <c r="Z24" s="661"/>
      <c r="AC24" s="298"/>
    </row>
    <row r="25" spans="1:26" ht="13.5" thickBot="1">
      <c r="A25" s="66" t="s">
        <v>114</v>
      </c>
      <c r="B25" s="303"/>
      <c r="C25" s="304"/>
      <c r="D25" s="304">
        <v>0.09686035780740615</v>
      </c>
      <c r="E25" s="304">
        <v>0</v>
      </c>
      <c r="F25" s="304">
        <v>1.9057783198658333</v>
      </c>
      <c r="G25" s="304"/>
      <c r="H25" s="304"/>
      <c r="I25" s="436"/>
      <c r="J25" s="305">
        <v>0.10058023606673977</v>
      </c>
      <c r="K25" s="291">
        <v>0.477944</v>
      </c>
      <c r="L25" s="289"/>
      <c r="M25" s="66" t="s">
        <v>114</v>
      </c>
      <c r="N25" s="292"/>
      <c r="O25" s="292"/>
      <c r="P25" s="292">
        <v>0.5655053072673087</v>
      </c>
      <c r="Q25" s="292">
        <v>0</v>
      </c>
      <c r="R25" s="292">
        <v>1.905778319865833</v>
      </c>
      <c r="S25" s="292"/>
      <c r="T25" s="292"/>
      <c r="U25" s="292"/>
      <c r="V25" s="305">
        <v>0.6091710704658636</v>
      </c>
      <c r="W25" s="293">
        <v>2</v>
      </c>
      <c r="Z25" s="662"/>
    </row>
    <row r="26" spans="1:26" ht="13.5" thickTop="1">
      <c r="A26" s="75" t="s">
        <v>84</v>
      </c>
      <c r="B26" s="76">
        <v>0.6857402614317308</v>
      </c>
      <c r="C26" s="76">
        <v>0.7776469509641041</v>
      </c>
      <c r="D26" s="76">
        <v>0.9547412865852116</v>
      </c>
      <c r="E26" s="76">
        <v>0.8766284378225302</v>
      </c>
      <c r="F26" s="76">
        <v>0.8559554720522936</v>
      </c>
      <c r="G26" s="76">
        <v>0.8939713856330951</v>
      </c>
      <c r="H26" s="76">
        <v>0.9613315163798175</v>
      </c>
      <c r="I26" s="76">
        <v>0.9330000775855504</v>
      </c>
      <c r="J26" s="87">
        <v>0.891092433966401</v>
      </c>
      <c r="K26" s="74"/>
      <c r="L26" s="74"/>
      <c r="M26" s="77" t="s">
        <v>84</v>
      </c>
      <c r="N26" s="81">
        <v>1.0533635223844493</v>
      </c>
      <c r="O26" s="81">
        <v>1.0131920512208736</v>
      </c>
      <c r="P26" s="81">
        <v>1.0830166699626305</v>
      </c>
      <c r="Q26" s="81">
        <v>1.0096253454604107</v>
      </c>
      <c r="R26" s="81">
        <v>0.9662162677773393</v>
      </c>
      <c r="S26" s="81">
        <v>0.9703501545388503</v>
      </c>
      <c r="T26" s="81">
        <v>1.0090430210486425</v>
      </c>
      <c r="U26" s="81">
        <v>1.0057332506964016</v>
      </c>
      <c r="V26" s="86">
        <v>0.9962235569799495</v>
      </c>
      <c r="W26" s="56"/>
      <c r="X26" s="56"/>
      <c r="Y26" s="55"/>
      <c r="Z26" s="663"/>
    </row>
    <row r="27" spans="1:26" s="54" customFormat="1" ht="15">
      <c r="A27" s="64"/>
      <c r="B27" s="64"/>
      <c r="C27" s="78"/>
      <c r="D27" s="78"/>
      <c r="E27" s="78"/>
      <c r="F27" s="78"/>
      <c r="G27" s="747" t="s">
        <v>67</v>
      </c>
      <c r="H27" s="747"/>
      <c r="I27" s="747"/>
      <c r="J27" s="747"/>
      <c r="K27" s="747"/>
      <c r="L27" s="747"/>
      <c r="M27" s="747"/>
      <c r="N27" s="747"/>
      <c r="O27" s="747"/>
      <c r="P27" s="78"/>
      <c r="Q27" s="78"/>
      <c r="R27" s="78"/>
      <c r="S27" s="79"/>
      <c r="T27" s="80"/>
      <c r="U27" s="80"/>
      <c r="V27" s="80"/>
      <c r="W27" s="46"/>
      <c r="X27" s="46"/>
      <c r="Y27" s="53"/>
      <c r="Z27" s="664"/>
    </row>
    <row r="28" spans="1:26" ht="15">
      <c r="A28" s="69"/>
      <c r="B28" s="746" t="s">
        <v>70</v>
      </c>
      <c r="C28" s="746"/>
      <c r="D28" s="746"/>
      <c r="E28" s="746"/>
      <c r="F28" s="746"/>
      <c r="G28" s="746"/>
      <c r="H28" s="746"/>
      <c r="I28" s="746"/>
      <c r="J28" s="70"/>
      <c r="K28" s="70"/>
      <c r="L28" s="71"/>
      <c r="M28" s="71"/>
      <c r="N28" s="746" t="s">
        <v>257</v>
      </c>
      <c r="O28" s="746"/>
      <c r="P28" s="746"/>
      <c r="Q28" s="746"/>
      <c r="R28" s="746"/>
      <c r="S28" s="746"/>
      <c r="T28" s="746"/>
      <c r="U28" s="746"/>
      <c r="V28" s="70"/>
      <c r="W28" s="55"/>
      <c r="X28" s="55"/>
      <c r="Y28" s="46"/>
      <c r="Z28" s="45"/>
    </row>
    <row r="29" spans="1:26" ht="15" customHeight="1">
      <c r="A29" s="741" t="s">
        <v>11</v>
      </c>
      <c r="B29" s="743" t="s">
        <v>28</v>
      </c>
      <c r="C29" s="744"/>
      <c r="D29" s="744"/>
      <c r="E29" s="744"/>
      <c r="F29" s="744"/>
      <c r="G29" s="744"/>
      <c r="H29" s="744"/>
      <c r="I29" s="745"/>
      <c r="J29" s="739" t="s">
        <v>84</v>
      </c>
      <c r="K29" s="70"/>
      <c r="L29" s="71"/>
      <c r="M29" s="741" t="s">
        <v>11</v>
      </c>
      <c r="N29" s="743" t="s">
        <v>28</v>
      </c>
      <c r="O29" s="744"/>
      <c r="P29" s="744"/>
      <c r="Q29" s="744"/>
      <c r="R29" s="744"/>
      <c r="S29" s="744"/>
      <c r="T29" s="744"/>
      <c r="U29" s="745"/>
      <c r="V29" s="739" t="s">
        <v>84</v>
      </c>
      <c r="W29" s="55"/>
      <c r="X29" s="55"/>
      <c r="Y29" s="46"/>
      <c r="Z29" s="45"/>
    </row>
    <row r="30" spans="1:26" ht="12.75">
      <c r="A30" s="742"/>
      <c r="B30" s="72" t="s">
        <v>115</v>
      </c>
      <c r="C30" s="73" t="s">
        <v>116</v>
      </c>
      <c r="D30" s="73" t="s">
        <v>117</v>
      </c>
      <c r="E30" s="73" t="s">
        <v>118</v>
      </c>
      <c r="F30" s="73" t="s">
        <v>119</v>
      </c>
      <c r="G30" s="73" t="s">
        <v>34</v>
      </c>
      <c r="H30" s="73" t="s">
        <v>35</v>
      </c>
      <c r="I30" s="665" t="s">
        <v>36</v>
      </c>
      <c r="J30" s="740"/>
      <c r="K30" s="73" t="s">
        <v>129</v>
      </c>
      <c r="L30" s="74"/>
      <c r="M30" s="742"/>
      <c r="N30" s="72" t="s">
        <v>115</v>
      </c>
      <c r="O30" s="73" t="s">
        <v>116</v>
      </c>
      <c r="P30" s="73" t="s">
        <v>117</v>
      </c>
      <c r="Q30" s="73" t="s">
        <v>118</v>
      </c>
      <c r="R30" s="73" t="s">
        <v>119</v>
      </c>
      <c r="S30" s="73" t="s">
        <v>34</v>
      </c>
      <c r="T30" s="73" t="s">
        <v>35</v>
      </c>
      <c r="U30" s="665" t="s">
        <v>36</v>
      </c>
      <c r="V30" s="740"/>
      <c r="W30" s="73" t="s">
        <v>128</v>
      </c>
      <c r="X30" s="56"/>
      <c r="Y30" s="55"/>
      <c r="Z30" s="55"/>
    </row>
    <row r="31" spans="1:26" ht="12" customHeight="1">
      <c r="A31" s="64" t="s">
        <v>16</v>
      </c>
      <c r="B31" s="288">
        <v>1.590902388309804</v>
      </c>
      <c r="C31" s="289">
        <v>0.9190622230061861</v>
      </c>
      <c r="D31" s="289">
        <v>1.0590653838083657</v>
      </c>
      <c r="E31" s="289">
        <v>0.7571711839236612</v>
      </c>
      <c r="F31" s="289">
        <v>0.81195035726915</v>
      </c>
      <c r="G31" s="289">
        <v>0.9639095246074639</v>
      </c>
      <c r="H31" s="289">
        <v>0.8819148404274912</v>
      </c>
      <c r="I31" s="289">
        <v>0.8372462105461579</v>
      </c>
      <c r="J31" s="290">
        <v>0.9403424730281448</v>
      </c>
      <c r="K31" s="291">
        <v>23.091956</v>
      </c>
      <c r="L31" s="289"/>
      <c r="M31" s="66" t="s">
        <v>16</v>
      </c>
      <c r="N31" s="292">
        <v>1.7032111918007415</v>
      </c>
      <c r="O31" s="292">
        <v>1.130117054442362</v>
      </c>
      <c r="P31" s="292">
        <v>1.271565474011966</v>
      </c>
      <c r="Q31" s="292">
        <v>0.9102236318327454</v>
      </c>
      <c r="R31" s="292">
        <v>0.986081086206243</v>
      </c>
      <c r="S31" s="292">
        <v>0.969511032496931</v>
      </c>
      <c r="T31" s="292">
        <v>0.7622814257267123</v>
      </c>
      <c r="U31" s="292">
        <v>0.9388814970599589</v>
      </c>
      <c r="V31" s="308">
        <v>1.0018300207106519</v>
      </c>
      <c r="W31" s="111">
        <v>298</v>
      </c>
      <c r="X31" s="294"/>
      <c r="Y31" s="294"/>
      <c r="Z31" s="294"/>
    </row>
    <row r="32" spans="1:26" ht="12.75">
      <c r="A32" s="64" t="s">
        <v>17</v>
      </c>
      <c r="B32" s="295">
        <v>0.5703942555778514</v>
      </c>
      <c r="C32" s="289">
        <v>0.6610891124519412</v>
      </c>
      <c r="D32" s="289">
        <v>0.875319878068751</v>
      </c>
      <c r="E32" s="289">
        <v>0.81774129294458</v>
      </c>
      <c r="F32" s="289">
        <v>0.7310484179376961</v>
      </c>
      <c r="G32" s="289">
        <v>1.2131841035640596</v>
      </c>
      <c r="H32" s="289">
        <v>0.9424498304869997</v>
      </c>
      <c r="I32" s="289">
        <v>1.0118199272381614</v>
      </c>
      <c r="J32" s="296">
        <v>0.9219846280094758</v>
      </c>
      <c r="K32" s="291">
        <v>53.6347</v>
      </c>
      <c r="L32" s="289"/>
      <c r="M32" s="66" t="s">
        <v>17</v>
      </c>
      <c r="N32" s="292">
        <v>1.164871640341589</v>
      </c>
      <c r="O32" s="292">
        <v>1.0915052512317636</v>
      </c>
      <c r="P32" s="292">
        <v>1.6207770653562141</v>
      </c>
      <c r="Q32" s="292">
        <v>0.7580557386415324</v>
      </c>
      <c r="R32" s="292">
        <v>1.0414481962037117</v>
      </c>
      <c r="S32" s="292">
        <v>1.2203470911196554</v>
      </c>
      <c r="T32" s="292">
        <v>1.0358318424384407</v>
      </c>
      <c r="U32" s="292">
        <v>1.0325749455043378</v>
      </c>
      <c r="V32" s="308">
        <v>1.0716864827909132</v>
      </c>
      <c r="W32" s="111">
        <v>585</v>
      </c>
      <c r="X32" s="294"/>
      <c r="Y32" s="294"/>
      <c r="Z32" s="294"/>
    </row>
    <row r="33" spans="1:26" ht="12.75">
      <c r="A33" s="64" t="s">
        <v>18</v>
      </c>
      <c r="B33" s="295">
        <v>1.1427193712391004</v>
      </c>
      <c r="C33" s="289">
        <v>0.44309401183138963</v>
      </c>
      <c r="D33" s="289">
        <v>0.6443224267946027</v>
      </c>
      <c r="E33" s="289">
        <v>1.399014505573115</v>
      </c>
      <c r="F33" s="289">
        <v>1.0927854689626666</v>
      </c>
      <c r="G33" s="289">
        <v>1.1885238777809022</v>
      </c>
      <c r="H33" s="289">
        <v>0.8899758953383082</v>
      </c>
      <c r="I33" s="289">
        <v>0.9784321119185523</v>
      </c>
      <c r="J33" s="296">
        <v>1.0152167204032583</v>
      </c>
      <c r="K33" s="291">
        <v>136.072314</v>
      </c>
      <c r="L33" s="289"/>
      <c r="M33" s="66" t="s">
        <v>18</v>
      </c>
      <c r="N33" s="292">
        <v>1.1235309832394145</v>
      </c>
      <c r="O33" s="292">
        <v>0.6817953815180859</v>
      </c>
      <c r="P33" s="292">
        <v>1.0180782939229054</v>
      </c>
      <c r="Q33" s="292">
        <v>1.1355474616255938</v>
      </c>
      <c r="R33" s="292">
        <v>1.2167841105078487</v>
      </c>
      <c r="S33" s="292">
        <v>1.069897645801163</v>
      </c>
      <c r="T33" s="292">
        <v>0.9917140061198573</v>
      </c>
      <c r="U33" s="292">
        <v>0.9522418067990138</v>
      </c>
      <c r="V33" s="308">
        <v>1.0227669949278284</v>
      </c>
      <c r="W33" s="111">
        <v>1116</v>
      </c>
      <c r="X33" s="294"/>
      <c r="Y33" s="294"/>
      <c r="Z33" s="294"/>
    </row>
    <row r="34" spans="1:26" ht="12.75">
      <c r="A34" s="64" t="s">
        <v>19</v>
      </c>
      <c r="B34" s="295">
        <v>0.564742802062422</v>
      </c>
      <c r="C34" s="289">
        <v>0.5093355049206995</v>
      </c>
      <c r="D34" s="289">
        <v>1.3996553162512182</v>
      </c>
      <c r="E34" s="289">
        <v>0.7966774040571493</v>
      </c>
      <c r="F34" s="289">
        <v>0.8914576630218363</v>
      </c>
      <c r="G34" s="289">
        <v>0.763692436385404</v>
      </c>
      <c r="H34" s="289">
        <v>1.0737871679639168</v>
      </c>
      <c r="I34" s="289">
        <v>0.9570402475062131</v>
      </c>
      <c r="J34" s="296">
        <v>0.9105410375654893</v>
      </c>
      <c r="K34" s="291">
        <v>195.6861</v>
      </c>
      <c r="L34" s="289"/>
      <c r="M34" s="66" t="s">
        <v>19</v>
      </c>
      <c r="N34" s="292">
        <v>1.1164228027124607</v>
      </c>
      <c r="O34" s="292">
        <v>0.6299732891325409</v>
      </c>
      <c r="P34" s="292">
        <v>1.413673997351717</v>
      </c>
      <c r="Q34" s="292">
        <v>1.2258846914697947</v>
      </c>
      <c r="R34" s="292">
        <v>1.0035812410594422</v>
      </c>
      <c r="S34" s="292">
        <v>0.9182163507104398</v>
      </c>
      <c r="T34" s="292">
        <v>1.134069925321595</v>
      </c>
      <c r="U34" s="292">
        <v>0.9676088577283579</v>
      </c>
      <c r="V34" s="308">
        <v>1.0290485638845845</v>
      </c>
      <c r="W34" s="111">
        <v>1679</v>
      </c>
      <c r="X34" s="294"/>
      <c r="Y34" s="294"/>
      <c r="Z34" s="294"/>
    </row>
    <row r="35" spans="1:26" ht="12.75">
      <c r="A35" s="64" t="s">
        <v>104</v>
      </c>
      <c r="B35" s="295">
        <v>0.632122757847845</v>
      </c>
      <c r="C35" s="289">
        <v>0.7403391169010765</v>
      </c>
      <c r="D35" s="289">
        <v>1.2039269443069325</v>
      </c>
      <c r="E35" s="289">
        <v>1.088968985039998</v>
      </c>
      <c r="F35" s="289">
        <v>0.9216132531093538</v>
      </c>
      <c r="G35" s="289">
        <v>1.1069091045728001</v>
      </c>
      <c r="H35" s="289">
        <v>0.9698968058135724</v>
      </c>
      <c r="I35" s="289">
        <v>0.9554695394728545</v>
      </c>
      <c r="J35" s="296">
        <v>0.9831071539998578</v>
      </c>
      <c r="K35" s="291">
        <v>262.142707</v>
      </c>
      <c r="L35" s="289"/>
      <c r="M35" s="66" t="s">
        <v>104</v>
      </c>
      <c r="N35" s="292">
        <v>1.0287223078432455</v>
      </c>
      <c r="O35" s="292">
        <v>0.5779937547774798</v>
      </c>
      <c r="P35" s="292">
        <v>1.1008600276955895</v>
      </c>
      <c r="Q35" s="292">
        <v>1.0555739203875374</v>
      </c>
      <c r="R35" s="292">
        <v>1.0054714067225345</v>
      </c>
      <c r="S35" s="292">
        <v>1.1201663012069205</v>
      </c>
      <c r="T35" s="292">
        <v>1.134522040190073</v>
      </c>
      <c r="U35" s="292">
        <v>1.0705998418559324</v>
      </c>
      <c r="V35" s="308">
        <v>1.0807022062734184</v>
      </c>
      <c r="W35" s="111">
        <v>2122</v>
      </c>
      <c r="X35" s="294"/>
      <c r="Y35" s="294"/>
      <c r="Z35" s="294"/>
    </row>
    <row r="36" spans="1:26" ht="12.75">
      <c r="A36" s="64" t="s">
        <v>105</v>
      </c>
      <c r="B36" s="295">
        <v>0.7075966767996572</v>
      </c>
      <c r="C36" s="289">
        <v>0.424006814497406</v>
      </c>
      <c r="D36" s="289">
        <v>0.9093872788371925</v>
      </c>
      <c r="E36" s="289">
        <v>0.6565034377240044</v>
      </c>
      <c r="F36" s="289">
        <v>0.9097982350929656</v>
      </c>
      <c r="G36" s="289">
        <v>0.9353685309608821</v>
      </c>
      <c r="H36" s="289">
        <v>1.0552039734237424</v>
      </c>
      <c r="I36" s="289">
        <v>0.9657969639384426</v>
      </c>
      <c r="J36" s="296">
        <v>0.909038810071963</v>
      </c>
      <c r="K36" s="291">
        <v>250.392545</v>
      </c>
      <c r="L36" s="289"/>
      <c r="M36" s="66" t="s">
        <v>105</v>
      </c>
      <c r="N36" s="292">
        <v>1.1943773059625482</v>
      </c>
      <c r="O36" s="292">
        <v>0.6029558402679538</v>
      </c>
      <c r="P36" s="292">
        <v>1.23508348850378</v>
      </c>
      <c r="Q36" s="292">
        <v>1.0341388105641145</v>
      </c>
      <c r="R36" s="292">
        <v>1.0456027073581777</v>
      </c>
      <c r="S36" s="292">
        <v>1.0722857939412294</v>
      </c>
      <c r="T36" s="292">
        <v>1.176158311441822</v>
      </c>
      <c r="U36" s="292">
        <v>0.9791012966016145</v>
      </c>
      <c r="V36" s="308">
        <v>1.071322566488685</v>
      </c>
      <c r="W36" s="111">
        <v>2162</v>
      </c>
      <c r="X36" s="294"/>
      <c r="Y36" s="294"/>
      <c r="Z36" s="294"/>
    </row>
    <row r="37" spans="1:26" ht="12.75">
      <c r="A37" s="64" t="s">
        <v>106</v>
      </c>
      <c r="B37" s="295">
        <v>1.1834544207648423</v>
      </c>
      <c r="C37" s="289">
        <v>0.704166712055223</v>
      </c>
      <c r="D37" s="289">
        <v>0.45787647137388615</v>
      </c>
      <c r="E37" s="289">
        <v>0.7354966980328839</v>
      </c>
      <c r="F37" s="289">
        <v>0.8147169196241554</v>
      </c>
      <c r="G37" s="289">
        <v>1.2305254042562246</v>
      </c>
      <c r="H37" s="289">
        <v>0.9534042292718972</v>
      </c>
      <c r="I37" s="289">
        <v>0.8694259520387323</v>
      </c>
      <c r="J37" s="296">
        <v>0.8985024123145972</v>
      </c>
      <c r="K37" s="291">
        <v>229.928261</v>
      </c>
      <c r="L37" s="289"/>
      <c r="M37" s="66" t="s">
        <v>106</v>
      </c>
      <c r="N37" s="292">
        <v>1.1335076589939923</v>
      </c>
      <c r="O37" s="292">
        <v>1.0052587598876623</v>
      </c>
      <c r="P37" s="292">
        <v>0.7314869789222027</v>
      </c>
      <c r="Q37" s="292">
        <v>0.8705063978453622</v>
      </c>
      <c r="R37" s="292">
        <v>0.9597204109171</v>
      </c>
      <c r="S37" s="292">
        <v>1.1660181946003152</v>
      </c>
      <c r="T37" s="292">
        <v>1.0497840520832855</v>
      </c>
      <c r="U37" s="292">
        <v>0.822442970816553</v>
      </c>
      <c r="V37" s="308">
        <v>0.9791000066843246</v>
      </c>
      <c r="W37" s="111">
        <v>1792</v>
      </c>
      <c r="X37" s="294"/>
      <c r="Y37" s="294"/>
      <c r="Z37" s="294"/>
    </row>
    <row r="38" spans="1:26" ht="12.75">
      <c r="A38" s="64" t="s">
        <v>107</v>
      </c>
      <c r="B38" s="295">
        <v>0.9880768793653133</v>
      </c>
      <c r="C38" s="289">
        <v>1.0333445205109646</v>
      </c>
      <c r="D38" s="289">
        <v>0.7846453339038808</v>
      </c>
      <c r="E38" s="289">
        <v>0.8870426705349108</v>
      </c>
      <c r="F38" s="289">
        <v>1.374609090420839</v>
      </c>
      <c r="G38" s="289">
        <v>1.456178686429654</v>
      </c>
      <c r="H38" s="289">
        <v>0.9502931975611898</v>
      </c>
      <c r="I38" s="289">
        <v>0.8122029801449369</v>
      </c>
      <c r="J38" s="296">
        <v>1.0595034770614267</v>
      </c>
      <c r="K38" s="291">
        <v>228.328826</v>
      </c>
      <c r="L38" s="289"/>
      <c r="M38" s="66" t="s">
        <v>107</v>
      </c>
      <c r="N38" s="292">
        <v>0.8883368637993841</v>
      </c>
      <c r="O38" s="292">
        <v>0.8252513715677793</v>
      </c>
      <c r="P38" s="292">
        <v>1.0133125031528336</v>
      </c>
      <c r="Q38" s="292">
        <v>0.8523553835436418</v>
      </c>
      <c r="R38" s="292">
        <v>1.0052120458451976</v>
      </c>
      <c r="S38" s="292">
        <v>1.221132148017989</v>
      </c>
      <c r="T38" s="292">
        <v>0.9668307155276137</v>
      </c>
      <c r="U38" s="292">
        <v>0.8864345959007318</v>
      </c>
      <c r="V38" s="308">
        <v>0.9787411611444661</v>
      </c>
      <c r="W38" s="111">
        <v>1466</v>
      </c>
      <c r="X38" s="294"/>
      <c r="Y38" s="294"/>
      <c r="Z38" s="294"/>
    </row>
    <row r="39" spans="1:26" ht="12.75">
      <c r="A39" s="64" t="s">
        <v>108</v>
      </c>
      <c r="B39" s="295">
        <v>0.31496122452440356</v>
      </c>
      <c r="C39" s="289">
        <v>1.0575530880811699</v>
      </c>
      <c r="D39" s="289">
        <v>0.6635586913264636</v>
      </c>
      <c r="E39" s="289">
        <v>0.9469292663433333</v>
      </c>
      <c r="F39" s="289">
        <v>1.1273778910941974</v>
      </c>
      <c r="G39" s="289">
        <v>1.7999445601823563</v>
      </c>
      <c r="H39" s="289">
        <v>0.9719832821896786</v>
      </c>
      <c r="I39" s="289">
        <v>0.9467368210069672</v>
      </c>
      <c r="J39" s="296">
        <v>1.0917044009611956</v>
      </c>
      <c r="K39" s="291">
        <v>139.25882</v>
      </c>
      <c r="L39" s="289"/>
      <c r="M39" s="66" t="s">
        <v>108</v>
      </c>
      <c r="N39" s="292">
        <v>0.46278758116137203</v>
      </c>
      <c r="O39" s="292">
        <v>1.2569446190200864</v>
      </c>
      <c r="P39" s="292">
        <v>1.2913565916221086</v>
      </c>
      <c r="Q39" s="292">
        <v>0.9148956206628237</v>
      </c>
      <c r="R39" s="292">
        <v>1.0887019552721775</v>
      </c>
      <c r="S39" s="292">
        <v>1.1405768090606283</v>
      </c>
      <c r="T39" s="292">
        <v>0.9704840405669416</v>
      </c>
      <c r="U39" s="292">
        <v>0.7796741245677173</v>
      </c>
      <c r="V39" s="308">
        <v>0.980207919892363</v>
      </c>
      <c r="W39" s="111">
        <v>909</v>
      </c>
      <c r="X39" s="294"/>
      <c r="Y39" s="294"/>
      <c r="Z39" s="294"/>
    </row>
    <row r="40" spans="1:26" ht="12.75">
      <c r="A40" s="64" t="s">
        <v>109</v>
      </c>
      <c r="B40" s="295">
        <v>0.19620754027625634</v>
      </c>
      <c r="C40" s="289">
        <v>0.662684240135967</v>
      </c>
      <c r="D40" s="289">
        <v>0.7582780868117054</v>
      </c>
      <c r="E40" s="289">
        <v>1.1011643338527957</v>
      </c>
      <c r="F40" s="289">
        <v>0.988345648559796</v>
      </c>
      <c r="G40" s="289">
        <v>1.335721702046512</v>
      </c>
      <c r="H40" s="289">
        <v>1.0346645796083043</v>
      </c>
      <c r="I40" s="289">
        <v>0.7505773496602505</v>
      </c>
      <c r="J40" s="296">
        <v>1.013104747319453</v>
      </c>
      <c r="K40" s="291">
        <v>66.30731</v>
      </c>
      <c r="L40" s="289"/>
      <c r="M40" s="66" t="s">
        <v>109</v>
      </c>
      <c r="N40" s="292">
        <v>0.7061538483266274</v>
      </c>
      <c r="O40" s="292">
        <v>0.8333001556419517</v>
      </c>
      <c r="P40" s="292">
        <v>0.607594321423472</v>
      </c>
      <c r="Q40" s="292">
        <v>1.152145731771396</v>
      </c>
      <c r="R40" s="292">
        <v>1.0457201570897774</v>
      </c>
      <c r="S40" s="292">
        <v>1.2601811539049221</v>
      </c>
      <c r="T40" s="292">
        <v>1.0332440284205189</v>
      </c>
      <c r="U40" s="292">
        <v>0.8284173042216451</v>
      </c>
      <c r="V40" s="308">
        <v>1.0253808163367402</v>
      </c>
      <c r="W40" s="111">
        <v>462</v>
      </c>
      <c r="X40" s="294"/>
      <c r="Y40" s="294"/>
      <c r="Z40" s="294"/>
    </row>
    <row r="41" spans="1:26" ht="12.75">
      <c r="A41" s="64" t="s">
        <v>110</v>
      </c>
      <c r="B41" s="295">
        <v>0.17557311745869603</v>
      </c>
      <c r="C41" s="289">
        <v>0.33672057347468687</v>
      </c>
      <c r="D41" s="289">
        <v>0.3480585278972698</v>
      </c>
      <c r="E41" s="289">
        <v>2.00782297149249</v>
      </c>
      <c r="F41" s="289">
        <v>0.9770207392752114</v>
      </c>
      <c r="G41" s="289">
        <v>0.5495752824076748</v>
      </c>
      <c r="H41" s="289">
        <v>0.6239887539038474</v>
      </c>
      <c r="I41" s="289">
        <v>0.372784471612273</v>
      </c>
      <c r="J41" s="296">
        <v>0.7260843550057814</v>
      </c>
      <c r="K41" s="291">
        <v>22.339629</v>
      </c>
      <c r="L41" s="289"/>
      <c r="M41" s="66" t="s">
        <v>110</v>
      </c>
      <c r="N41" s="292">
        <v>0.5032864605876372</v>
      </c>
      <c r="O41" s="292">
        <v>0.7884896284045506</v>
      </c>
      <c r="P41" s="292">
        <v>0.8298789621533698</v>
      </c>
      <c r="Q41" s="292">
        <v>2.0943823904328616</v>
      </c>
      <c r="R41" s="292">
        <v>1.2057762246280723</v>
      </c>
      <c r="S41" s="292">
        <v>0.8994437405694102</v>
      </c>
      <c r="T41" s="292">
        <v>0.8968939871307212</v>
      </c>
      <c r="U41" s="292">
        <v>0.5757379701350321</v>
      </c>
      <c r="V41" s="308">
        <v>0.9798776849241234</v>
      </c>
      <c r="W41" s="111">
        <v>186</v>
      </c>
      <c r="X41" s="294"/>
      <c r="Y41" s="294"/>
      <c r="Z41" s="294"/>
    </row>
    <row r="42" spans="1:26" ht="12.75">
      <c r="A42" s="64" t="s">
        <v>111</v>
      </c>
      <c r="B42" s="295">
        <v>0.09416320343111403</v>
      </c>
      <c r="C42" s="289">
        <v>1.4869094496584359</v>
      </c>
      <c r="D42" s="289">
        <v>4.741068872291366</v>
      </c>
      <c r="E42" s="289">
        <v>0.18536711977482925</v>
      </c>
      <c r="F42" s="289">
        <v>0.6431479637131166</v>
      </c>
      <c r="G42" s="289">
        <v>0.21842344407341135</v>
      </c>
      <c r="H42" s="289">
        <v>0.37476773249819284</v>
      </c>
      <c r="I42" s="289">
        <v>0</v>
      </c>
      <c r="J42" s="296">
        <v>0.474133736175701</v>
      </c>
      <c r="K42" s="291">
        <v>5.616975</v>
      </c>
      <c r="L42" s="289"/>
      <c r="M42" s="66" t="s">
        <v>111</v>
      </c>
      <c r="N42" s="292">
        <v>0.6126324817741836</v>
      </c>
      <c r="O42" s="292">
        <v>2.7265786890609665</v>
      </c>
      <c r="P42" s="292">
        <v>1.5257624998092796</v>
      </c>
      <c r="Q42" s="292">
        <v>0.48366307063173675</v>
      </c>
      <c r="R42" s="292">
        <v>0.718936721346597</v>
      </c>
      <c r="S42" s="292">
        <v>0.45894796505340707</v>
      </c>
      <c r="T42" s="292">
        <v>0.6659899468817518</v>
      </c>
      <c r="U42" s="292">
        <v>0</v>
      </c>
      <c r="V42" s="308">
        <v>0.6810153839714228</v>
      </c>
      <c r="W42" s="111">
        <v>41</v>
      </c>
      <c r="X42" s="294"/>
      <c r="Y42" s="297"/>
      <c r="Z42" s="294"/>
    </row>
    <row r="43" spans="1:24" ht="12.75">
      <c r="A43" s="64" t="s">
        <v>112</v>
      </c>
      <c r="B43" s="295">
        <v>0</v>
      </c>
      <c r="C43" s="289">
        <v>0.8688763056008654</v>
      </c>
      <c r="D43" s="289">
        <v>0</v>
      </c>
      <c r="E43" s="289">
        <v>0</v>
      </c>
      <c r="F43" s="289">
        <v>0.5243577169863003</v>
      </c>
      <c r="G43" s="289">
        <v>0.28417507631597744</v>
      </c>
      <c r="H43" s="289">
        <v>0</v>
      </c>
      <c r="I43" s="289"/>
      <c r="J43" s="296">
        <v>0.39551953062721573</v>
      </c>
      <c r="K43" s="291">
        <v>2.284161</v>
      </c>
      <c r="L43" s="289"/>
      <c r="M43" s="66" t="s">
        <v>112</v>
      </c>
      <c r="N43" s="292">
        <v>0</v>
      </c>
      <c r="O43" s="292">
        <v>1.0526537400787384</v>
      </c>
      <c r="P43" s="292">
        <v>0</v>
      </c>
      <c r="Q43" s="292">
        <v>0</v>
      </c>
      <c r="R43" s="292">
        <v>0.7059676227560034</v>
      </c>
      <c r="S43" s="292">
        <v>0.8582831476103965</v>
      </c>
      <c r="T43" s="292">
        <v>0</v>
      </c>
      <c r="U43" s="292"/>
      <c r="V43" s="308">
        <v>0.6372503920085615</v>
      </c>
      <c r="W43" s="111">
        <v>16</v>
      </c>
      <c r="X43" s="297"/>
    </row>
    <row r="44" spans="1:23" ht="13.5" thickBot="1">
      <c r="A44" s="64" t="s">
        <v>113</v>
      </c>
      <c r="B44" s="303">
        <v>0</v>
      </c>
      <c r="C44" s="304">
        <v>1.7606450727022451</v>
      </c>
      <c r="D44" s="304">
        <v>0.35015958749916837</v>
      </c>
      <c r="E44" s="304">
        <v>0</v>
      </c>
      <c r="F44" s="304">
        <v>0.5232749542227708</v>
      </c>
      <c r="G44" s="304">
        <v>3.1300863903843745</v>
      </c>
      <c r="H44" s="304"/>
      <c r="I44" s="436"/>
      <c r="J44" s="305">
        <v>0.4394384731671136</v>
      </c>
      <c r="K44" s="291">
        <v>0.590409</v>
      </c>
      <c r="L44" s="289"/>
      <c r="M44" s="66" t="s">
        <v>113</v>
      </c>
      <c r="N44" s="292">
        <v>0</v>
      </c>
      <c r="O44" s="292">
        <v>2.850139656843185</v>
      </c>
      <c r="P44" s="292">
        <v>2.5878577713368873</v>
      </c>
      <c r="Q44" s="292">
        <v>0</v>
      </c>
      <c r="R44" s="292">
        <v>0.8475869200386501</v>
      </c>
      <c r="S44" s="292">
        <v>3.1300863903843745</v>
      </c>
      <c r="T44" s="292"/>
      <c r="U44" s="292"/>
      <c r="V44" s="317">
        <v>0.9184355735813843</v>
      </c>
      <c r="W44" s="111">
        <v>5</v>
      </c>
    </row>
    <row r="45" spans="1:24" ht="13.5" thickTop="1">
      <c r="A45" s="75" t="s">
        <v>84</v>
      </c>
      <c r="B45" s="76">
        <v>0.7792238379209</v>
      </c>
      <c r="C45" s="76">
        <v>0.6865580618464744</v>
      </c>
      <c r="D45" s="76">
        <v>0.8743959452299951</v>
      </c>
      <c r="E45" s="76">
        <v>0.8908895544898815</v>
      </c>
      <c r="F45" s="76">
        <v>0.9672931612724394</v>
      </c>
      <c r="G45" s="76">
        <v>1.1208558818736485</v>
      </c>
      <c r="H45" s="76">
        <v>0.9723491933042042</v>
      </c>
      <c r="I45" s="76">
        <v>0.9126619310824853</v>
      </c>
      <c r="J45" s="87">
        <v>0.9571987062776056</v>
      </c>
      <c r="K45" s="74"/>
      <c r="L45" s="74"/>
      <c r="M45" s="77" t="s">
        <v>84</v>
      </c>
      <c r="N45" s="81">
        <v>1.0806288975807894</v>
      </c>
      <c r="O45" s="81">
        <v>0.8426040140852756</v>
      </c>
      <c r="P45" s="81">
        <v>1.0981221790585844</v>
      </c>
      <c r="Q45" s="81">
        <v>0.9920037693875792</v>
      </c>
      <c r="R45" s="81">
        <v>1.0256027267875425</v>
      </c>
      <c r="S45" s="81">
        <v>1.0928916554472972</v>
      </c>
      <c r="T45" s="81">
        <v>1.0601378959501624</v>
      </c>
      <c r="U45" s="81">
        <v>0.9397987140371313</v>
      </c>
      <c r="V45" s="86">
        <v>1.0243109664807186</v>
      </c>
      <c r="X45" s="55"/>
    </row>
    <row r="47" ht="12.75">
      <c r="A47" s="114" t="s">
        <v>266</v>
      </c>
    </row>
  </sheetData>
  <sheetProtection/>
  <mergeCells count="24">
    <mergeCell ref="B29:I29"/>
    <mergeCell ref="N29:U29"/>
    <mergeCell ref="A29:A30"/>
    <mergeCell ref="J29:J30"/>
    <mergeCell ref="M29:M30"/>
    <mergeCell ref="V29:V30"/>
    <mergeCell ref="G27:O27"/>
    <mergeCell ref="B28:I28"/>
    <mergeCell ref="N28:U28"/>
    <mergeCell ref="A5:Y5"/>
    <mergeCell ref="N9:U9"/>
    <mergeCell ref="B9:I9"/>
    <mergeCell ref="G7:O7"/>
    <mergeCell ref="B8:I8"/>
    <mergeCell ref="A6:Y6"/>
    <mergeCell ref="N8:U8"/>
    <mergeCell ref="V9:V10"/>
    <mergeCell ref="J9:J10"/>
    <mergeCell ref="M9:M10"/>
    <mergeCell ref="A9:A10"/>
    <mergeCell ref="A1:Y1"/>
    <mergeCell ref="A2:Y2"/>
    <mergeCell ref="A3:Y3"/>
    <mergeCell ref="A4:Y4"/>
  </mergeCells>
  <printOptions/>
  <pageMargins left="0.75" right="0.75" top="1" bottom="1" header="0.5" footer="0.5"/>
  <pageSetup horizontalDpi="600" verticalDpi="600" orientation="landscape" scale="53" r:id="rId1"/>
  <headerFooter alignWithMargins="0">
    <oddFooter>&amp;L"&amp;F"&amp;R&amp;"Arial,Italic"&amp;A</oddFooter>
  </headerFooter>
</worksheet>
</file>

<file path=xl/worksheets/sheet28.xml><?xml version="1.0" encoding="utf-8"?>
<worksheet xmlns="http://schemas.openxmlformats.org/spreadsheetml/2006/main" xmlns:r="http://schemas.openxmlformats.org/officeDocument/2006/relationships">
  <dimension ref="A1:AC47"/>
  <sheetViews>
    <sheetView zoomScaleSheetLayoutView="85" zoomScalePageLayoutView="0" workbookViewId="0" topLeftCell="A1">
      <selection activeCell="T14" sqref="T14"/>
    </sheetView>
  </sheetViews>
  <sheetFormatPr defaultColWidth="9.140625" defaultRowHeight="12.75"/>
  <cols>
    <col min="1" max="1" width="6.7109375" style="52" bestFit="1" customWidth="1"/>
    <col min="2" max="2" width="8.8515625" style="52" customWidth="1"/>
    <col min="3" max="10" width="8.8515625" style="275" customWidth="1"/>
    <col min="11" max="11" width="17.7109375" style="275" bestFit="1" customWidth="1"/>
    <col min="12" max="12" width="4.57421875" style="275" customWidth="1"/>
    <col min="13" max="13" width="7.28125" style="275" customWidth="1"/>
    <col min="14" max="16" width="8.00390625" style="275" customWidth="1"/>
    <col min="17" max="17" width="7.7109375" style="275" customWidth="1"/>
    <col min="18" max="18" width="8.00390625" style="275" customWidth="1"/>
    <col min="19" max="21" width="7.8515625" style="275" bestFit="1" customWidth="1"/>
    <col min="22" max="22" width="7.8515625" style="275" customWidth="1"/>
    <col min="23" max="23" width="12.00390625" style="275" bestFit="1" customWidth="1"/>
    <col min="24" max="24" width="7.28125" style="275" customWidth="1"/>
    <col min="25" max="25" width="1.57421875" style="275" customWidth="1"/>
    <col min="26" max="26" width="11.00390625" style="275" customWidth="1"/>
    <col min="27" max="27" width="3.00390625" style="275" customWidth="1"/>
    <col min="28" max="28" width="9.140625" style="275" customWidth="1"/>
    <col min="29" max="29" width="9.140625" style="186" customWidth="1"/>
    <col min="30" max="16384" width="9.140625" style="275" customWidth="1"/>
  </cols>
  <sheetData>
    <row r="1" spans="1:26" s="189" customFormat="1" ht="15.75">
      <c r="A1" s="683" t="s">
        <v>126</v>
      </c>
      <c r="B1" s="683"/>
      <c r="C1" s="683"/>
      <c r="D1" s="683"/>
      <c r="E1" s="683"/>
      <c r="F1" s="683"/>
      <c r="G1" s="683"/>
      <c r="H1" s="683"/>
      <c r="I1" s="683"/>
      <c r="J1" s="683"/>
      <c r="K1" s="683"/>
      <c r="L1" s="683"/>
      <c r="M1" s="683"/>
      <c r="N1" s="683"/>
      <c r="O1" s="683"/>
      <c r="P1" s="683"/>
      <c r="Q1" s="683"/>
      <c r="R1" s="683"/>
      <c r="S1" s="683"/>
      <c r="T1" s="683"/>
      <c r="U1" s="683"/>
      <c r="V1" s="683"/>
      <c r="W1" s="683"/>
      <c r="X1" s="683"/>
      <c r="Y1" s="683"/>
      <c r="Z1" s="60"/>
    </row>
    <row r="2" spans="1:27" ht="18">
      <c r="A2" s="751" t="s">
        <v>80</v>
      </c>
      <c r="B2" s="751"/>
      <c r="C2" s="751"/>
      <c r="D2" s="751"/>
      <c r="E2" s="751"/>
      <c r="F2" s="751"/>
      <c r="G2" s="751"/>
      <c r="H2" s="751"/>
      <c r="I2" s="751"/>
      <c r="J2" s="751"/>
      <c r="K2" s="751"/>
      <c r="L2" s="751"/>
      <c r="M2" s="751"/>
      <c r="N2" s="751"/>
      <c r="O2" s="751"/>
      <c r="P2" s="751"/>
      <c r="Q2" s="751"/>
      <c r="R2" s="751"/>
      <c r="S2" s="751"/>
      <c r="T2" s="751"/>
      <c r="U2" s="751"/>
      <c r="V2" s="751"/>
      <c r="W2" s="751"/>
      <c r="X2" s="751"/>
      <c r="Y2" s="751"/>
      <c r="Z2" s="61"/>
      <c r="AA2" s="38"/>
    </row>
    <row r="3" spans="1:26" ht="15.75">
      <c r="A3" s="750" t="s">
        <v>102</v>
      </c>
      <c r="B3" s="750"/>
      <c r="C3" s="750"/>
      <c r="D3" s="750"/>
      <c r="E3" s="750"/>
      <c r="F3" s="750"/>
      <c r="G3" s="750"/>
      <c r="H3" s="750"/>
      <c r="I3" s="750"/>
      <c r="J3" s="750"/>
      <c r="K3" s="750"/>
      <c r="L3" s="750"/>
      <c r="M3" s="750"/>
      <c r="N3" s="750"/>
      <c r="O3" s="750"/>
      <c r="P3" s="750"/>
      <c r="Q3" s="750"/>
      <c r="R3" s="750"/>
      <c r="S3" s="750"/>
      <c r="T3" s="750"/>
      <c r="U3" s="750"/>
      <c r="V3" s="750"/>
      <c r="W3" s="750"/>
      <c r="X3" s="750"/>
      <c r="Y3" s="750"/>
      <c r="Z3" s="62"/>
    </row>
    <row r="4" spans="1:26" ht="15.75">
      <c r="A4" s="750" t="s">
        <v>131</v>
      </c>
      <c r="B4" s="750"/>
      <c r="C4" s="750"/>
      <c r="D4" s="750"/>
      <c r="E4" s="750"/>
      <c r="F4" s="750"/>
      <c r="G4" s="750"/>
      <c r="H4" s="750"/>
      <c r="I4" s="750"/>
      <c r="J4" s="750"/>
      <c r="K4" s="750"/>
      <c r="L4" s="750"/>
      <c r="M4" s="750"/>
      <c r="N4" s="750"/>
      <c r="O4" s="750"/>
      <c r="P4" s="750"/>
      <c r="Q4" s="750"/>
      <c r="R4" s="750"/>
      <c r="S4" s="750"/>
      <c r="T4" s="750"/>
      <c r="U4" s="750"/>
      <c r="V4" s="750"/>
      <c r="W4" s="750"/>
      <c r="X4" s="750"/>
      <c r="Y4" s="750"/>
      <c r="Z4" s="62"/>
    </row>
    <row r="5" spans="1:26" ht="15">
      <c r="A5" s="749" t="s">
        <v>100</v>
      </c>
      <c r="B5" s="749"/>
      <c r="C5" s="749"/>
      <c r="D5" s="749"/>
      <c r="E5" s="749"/>
      <c r="F5" s="749"/>
      <c r="G5" s="749"/>
      <c r="H5" s="749"/>
      <c r="I5" s="749"/>
      <c r="J5" s="749"/>
      <c r="K5" s="749"/>
      <c r="L5" s="749"/>
      <c r="M5" s="749"/>
      <c r="N5" s="749"/>
      <c r="O5" s="749"/>
      <c r="P5" s="749"/>
      <c r="Q5" s="749"/>
      <c r="R5" s="749"/>
      <c r="S5" s="749"/>
      <c r="T5" s="749"/>
      <c r="U5" s="749"/>
      <c r="V5" s="749"/>
      <c r="W5" s="749"/>
      <c r="X5" s="749"/>
      <c r="Y5" s="749"/>
      <c r="Z5" s="63"/>
    </row>
    <row r="6" spans="1:26" ht="12.75">
      <c r="A6" s="748" t="s">
        <v>184</v>
      </c>
      <c r="B6" s="748"/>
      <c r="C6" s="748"/>
      <c r="D6" s="748"/>
      <c r="E6" s="748"/>
      <c r="F6" s="748"/>
      <c r="G6" s="748"/>
      <c r="H6" s="748"/>
      <c r="I6" s="748"/>
      <c r="J6" s="748"/>
      <c r="K6" s="748"/>
      <c r="L6" s="748"/>
      <c r="M6" s="748"/>
      <c r="N6" s="748"/>
      <c r="O6" s="748"/>
      <c r="P6" s="748"/>
      <c r="Q6" s="748"/>
      <c r="R6" s="748"/>
      <c r="S6" s="748"/>
      <c r="T6" s="748"/>
      <c r="U6" s="748"/>
      <c r="V6" s="748"/>
      <c r="W6" s="748"/>
      <c r="X6" s="748"/>
      <c r="Y6" s="748"/>
      <c r="Z6" s="415"/>
    </row>
    <row r="7" spans="1:26" ht="15">
      <c r="A7" s="67"/>
      <c r="B7" s="68"/>
      <c r="C7" s="68"/>
      <c r="D7" s="68"/>
      <c r="E7" s="68"/>
      <c r="F7" s="68"/>
      <c r="G7" s="747" t="s">
        <v>130</v>
      </c>
      <c r="H7" s="747"/>
      <c r="I7" s="747"/>
      <c r="J7" s="747"/>
      <c r="K7" s="747"/>
      <c r="L7" s="747"/>
      <c r="M7" s="747"/>
      <c r="N7" s="747"/>
      <c r="O7" s="747"/>
      <c r="P7" s="68"/>
      <c r="Q7" s="68"/>
      <c r="R7" s="68"/>
      <c r="S7" s="68"/>
      <c r="T7" s="68"/>
      <c r="U7" s="68"/>
      <c r="V7" s="68"/>
      <c r="W7" s="40"/>
      <c r="X7" s="40"/>
      <c r="Y7" s="40"/>
      <c r="Z7" s="40"/>
    </row>
    <row r="8" spans="1:26" ht="15">
      <c r="A8" s="69"/>
      <c r="B8" s="746" t="s">
        <v>70</v>
      </c>
      <c r="C8" s="746"/>
      <c r="D8" s="746"/>
      <c r="E8" s="746"/>
      <c r="F8" s="746"/>
      <c r="G8" s="746"/>
      <c r="H8" s="746"/>
      <c r="I8" s="746"/>
      <c r="J8" s="70"/>
      <c r="K8" s="70"/>
      <c r="L8" s="71"/>
      <c r="M8" s="71"/>
      <c r="N8" s="746" t="s">
        <v>257</v>
      </c>
      <c r="O8" s="746"/>
      <c r="P8" s="746"/>
      <c r="Q8" s="746"/>
      <c r="R8" s="746"/>
      <c r="S8" s="746"/>
      <c r="T8" s="746"/>
      <c r="U8" s="746"/>
      <c r="V8" s="70"/>
      <c r="W8" s="55"/>
      <c r="X8" s="55"/>
      <c r="Y8" s="55"/>
      <c r="Z8" s="55"/>
    </row>
    <row r="9" spans="1:26" ht="15" customHeight="1">
      <c r="A9" s="741" t="s">
        <v>11</v>
      </c>
      <c r="B9" s="743" t="s">
        <v>28</v>
      </c>
      <c r="C9" s="744"/>
      <c r="D9" s="744"/>
      <c r="E9" s="744"/>
      <c r="F9" s="744"/>
      <c r="G9" s="744"/>
      <c r="H9" s="744"/>
      <c r="I9" s="745"/>
      <c r="J9" s="754" t="s">
        <v>84</v>
      </c>
      <c r="K9" s="70"/>
      <c r="L9" s="71"/>
      <c r="M9" s="741" t="s">
        <v>11</v>
      </c>
      <c r="N9" s="743" t="s">
        <v>28</v>
      </c>
      <c r="O9" s="744"/>
      <c r="P9" s="744"/>
      <c r="Q9" s="744"/>
      <c r="R9" s="744"/>
      <c r="S9" s="744"/>
      <c r="T9" s="744"/>
      <c r="U9" s="745"/>
      <c r="V9" s="754" t="s">
        <v>84</v>
      </c>
      <c r="W9" s="55"/>
      <c r="X9" s="55"/>
      <c r="Y9" s="55"/>
      <c r="Z9" s="55"/>
    </row>
    <row r="10" spans="1:26" ht="12.75" customHeight="1">
      <c r="A10" s="742"/>
      <c r="B10" s="72" t="s">
        <v>115</v>
      </c>
      <c r="C10" s="73" t="s">
        <v>116</v>
      </c>
      <c r="D10" s="73" t="s">
        <v>117</v>
      </c>
      <c r="E10" s="73" t="s">
        <v>118</v>
      </c>
      <c r="F10" s="73" t="s">
        <v>119</v>
      </c>
      <c r="G10" s="73" t="s">
        <v>34</v>
      </c>
      <c r="H10" s="73" t="s">
        <v>35</v>
      </c>
      <c r="I10" s="665" t="s">
        <v>36</v>
      </c>
      <c r="J10" s="755"/>
      <c r="K10" s="73" t="s">
        <v>129</v>
      </c>
      <c r="L10" s="74"/>
      <c r="M10" s="742"/>
      <c r="N10" s="72" t="s">
        <v>115</v>
      </c>
      <c r="O10" s="73" t="s">
        <v>116</v>
      </c>
      <c r="P10" s="73" t="s">
        <v>117</v>
      </c>
      <c r="Q10" s="73" t="s">
        <v>118</v>
      </c>
      <c r="R10" s="73" t="s">
        <v>119</v>
      </c>
      <c r="S10" s="73" t="s">
        <v>34</v>
      </c>
      <c r="T10" s="73" t="s">
        <v>35</v>
      </c>
      <c r="U10" s="665" t="s">
        <v>36</v>
      </c>
      <c r="V10" s="755"/>
      <c r="W10" s="73" t="s">
        <v>128</v>
      </c>
      <c r="X10" s="56"/>
      <c r="Y10" s="53"/>
      <c r="Z10" s="53"/>
    </row>
    <row r="11" spans="1:26" ht="12.75">
      <c r="A11" s="64" t="s">
        <v>16</v>
      </c>
      <c r="B11" s="288">
        <v>0.8536874360470116</v>
      </c>
      <c r="C11" s="289">
        <v>1.1718080126023118</v>
      </c>
      <c r="D11" s="289">
        <v>0.6511180444971459</v>
      </c>
      <c r="E11" s="289">
        <v>0.7901047220118419</v>
      </c>
      <c r="F11" s="289">
        <v>1.0839580822125272</v>
      </c>
      <c r="G11" s="289">
        <v>0.891538595561333</v>
      </c>
      <c r="H11" s="289">
        <v>0.8049915165604725</v>
      </c>
      <c r="I11" s="289">
        <v>0.7538864471288658</v>
      </c>
      <c r="J11" s="296">
        <v>0.8768396360389071</v>
      </c>
      <c r="K11" s="291">
        <v>33.098346</v>
      </c>
      <c r="L11" s="289"/>
      <c r="M11" s="66" t="s">
        <v>16</v>
      </c>
      <c r="N11" s="292">
        <v>1.2641905387980077</v>
      </c>
      <c r="O11" s="292">
        <v>0.7853077379391835</v>
      </c>
      <c r="P11" s="292">
        <v>0.8294693884322203</v>
      </c>
      <c r="Q11" s="292">
        <v>0.9761314932789864</v>
      </c>
      <c r="R11" s="292">
        <v>0.9830526890371524</v>
      </c>
      <c r="S11" s="292">
        <v>1.0061903823700211</v>
      </c>
      <c r="T11" s="292">
        <v>0.8651608626671635</v>
      </c>
      <c r="U11" s="292">
        <v>0.6865906107360797</v>
      </c>
      <c r="V11" s="296">
        <v>0.8910500764235444</v>
      </c>
      <c r="W11" s="293">
        <v>362</v>
      </c>
      <c r="X11" s="294"/>
      <c r="Y11" s="294"/>
      <c r="Z11" s="294"/>
    </row>
    <row r="12" spans="1:26" ht="12.75">
      <c r="A12" s="64" t="s">
        <v>17</v>
      </c>
      <c r="B12" s="295">
        <v>0.5270445260863452</v>
      </c>
      <c r="C12" s="289">
        <v>0.4807337799016651</v>
      </c>
      <c r="D12" s="289">
        <v>0.33773685475654436</v>
      </c>
      <c r="E12" s="289">
        <v>0.6816639663430378</v>
      </c>
      <c r="F12" s="289">
        <v>1.116064643455233</v>
      </c>
      <c r="G12" s="289">
        <v>1.0807809750361659</v>
      </c>
      <c r="H12" s="289">
        <v>0.8445946248412398</v>
      </c>
      <c r="I12" s="289">
        <v>0.8664039865360553</v>
      </c>
      <c r="J12" s="296">
        <v>0.8654189622351652</v>
      </c>
      <c r="K12" s="291">
        <v>97.222173</v>
      </c>
      <c r="L12" s="289"/>
      <c r="M12" s="66" t="s">
        <v>17</v>
      </c>
      <c r="N12" s="292">
        <v>0.6453544162347341</v>
      </c>
      <c r="O12" s="292">
        <v>0.8176116826898119</v>
      </c>
      <c r="P12" s="292">
        <v>0.7423713529053679</v>
      </c>
      <c r="Q12" s="292">
        <v>0.8439226445159987</v>
      </c>
      <c r="R12" s="292">
        <v>1.149846296909547</v>
      </c>
      <c r="S12" s="292">
        <v>1.045921385545522</v>
      </c>
      <c r="T12" s="292">
        <v>0.8989851631555762</v>
      </c>
      <c r="U12" s="292">
        <v>0.8900053132830859</v>
      </c>
      <c r="V12" s="296">
        <v>0.9494171819808458</v>
      </c>
      <c r="W12" s="293">
        <v>914</v>
      </c>
      <c r="X12" s="294"/>
      <c r="Y12" s="294"/>
      <c r="Z12" s="294"/>
    </row>
    <row r="13" spans="1:26" ht="12.75">
      <c r="A13" s="64" t="s">
        <v>18</v>
      </c>
      <c r="B13" s="295">
        <v>0.5772825635272709</v>
      </c>
      <c r="C13" s="289">
        <v>1.190543860484224</v>
      </c>
      <c r="D13" s="289">
        <v>1.011760443662986</v>
      </c>
      <c r="E13" s="289">
        <v>0.8595765071159526</v>
      </c>
      <c r="F13" s="289">
        <v>0.9621564506184093</v>
      </c>
      <c r="G13" s="289">
        <v>0.9079821326224022</v>
      </c>
      <c r="H13" s="289">
        <v>1.0148522150245902</v>
      </c>
      <c r="I13" s="289">
        <v>1.0463286218296004</v>
      </c>
      <c r="J13" s="296">
        <v>0.9591551193224621</v>
      </c>
      <c r="K13" s="291">
        <v>219.830735</v>
      </c>
      <c r="L13" s="289"/>
      <c r="M13" s="66" t="s">
        <v>18</v>
      </c>
      <c r="N13" s="292">
        <v>0.6773142848791012</v>
      </c>
      <c r="O13" s="292">
        <v>0.9020405217826867</v>
      </c>
      <c r="P13" s="292">
        <v>0.6935824490157104</v>
      </c>
      <c r="Q13" s="292">
        <v>1.0220337137816804</v>
      </c>
      <c r="R13" s="292">
        <v>1.0883142186734949</v>
      </c>
      <c r="S13" s="292">
        <v>0.9899045453521452</v>
      </c>
      <c r="T13" s="292">
        <v>1.0263070296020882</v>
      </c>
      <c r="U13" s="292">
        <v>1.0213500821338317</v>
      </c>
      <c r="V13" s="296">
        <v>1.0099435845757894</v>
      </c>
      <c r="W13" s="293">
        <v>1654</v>
      </c>
      <c r="X13" s="294"/>
      <c r="Y13" s="294"/>
      <c r="Z13" s="294"/>
    </row>
    <row r="14" spans="1:26" ht="12.75">
      <c r="A14" s="64" t="s">
        <v>19</v>
      </c>
      <c r="B14" s="295">
        <v>0.8936486077003011</v>
      </c>
      <c r="C14" s="289">
        <v>0.7562355954989987</v>
      </c>
      <c r="D14" s="289">
        <v>1.0148456671265291</v>
      </c>
      <c r="E14" s="289">
        <v>1.9885123965768998</v>
      </c>
      <c r="F14" s="289">
        <v>0.8186199998555435</v>
      </c>
      <c r="G14" s="289">
        <v>0.8440269937926017</v>
      </c>
      <c r="H14" s="289">
        <v>0.9692332411073747</v>
      </c>
      <c r="I14" s="289">
        <v>1.0486773180757274</v>
      </c>
      <c r="J14" s="296">
        <v>1.0103145758017065</v>
      </c>
      <c r="K14" s="291">
        <v>312.210109</v>
      </c>
      <c r="L14" s="289"/>
      <c r="M14" s="66" t="s">
        <v>19</v>
      </c>
      <c r="N14" s="292">
        <v>1.0286838196264643</v>
      </c>
      <c r="O14" s="292">
        <v>0.9471237008234895</v>
      </c>
      <c r="P14" s="292">
        <v>0.9489296600617648</v>
      </c>
      <c r="Q14" s="292">
        <v>1.2877281193530379</v>
      </c>
      <c r="R14" s="292">
        <v>0.958288001399745</v>
      </c>
      <c r="S14" s="292">
        <v>0.9402476652791102</v>
      </c>
      <c r="T14" s="292">
        <v>1.0162486780312194</v>
      </c>
      <c r="U14" s="292">
        <v>0.9595670529413829</v>
      </c>
      <c r="V14" s="296">
        <v>0.9905941167001253</v>
      </c>
      <c r="W14" s="293">
        <v>2062</v>
      </c>
      <c r="X14" s="294"/>
      <c r="Y14" s="294"/>
      <c r="Z14" s="294"/>
    </row>
    <row r="15" spans="1:26" ht="12.75">
      <c r="A15" s="64" t="s">
        <v>104</v>
      </c>
      <c r="B15" s="295">
        <v>0.3753970775929273</v>
      </c>
      <c r="C15" s="289">
        <v>0.5400809726713195</v>
      </c>
      <c r="D15" s="289">
        <v>0.98155552438744</v>
      </c>
      <c r="E15" s="289">
        <v>1.0925461035462223</v>
      </c>
      <c r="F15" s="289">
        <v>0.8674085340868039</v>
      </c>
      <c r="G15" s="289">
        <v>0.8930191492049913</v>
      </c>
      <c r="H15" s="289">
        <v>0.9460966372647795</v>
      </c>
      <c r="I15" s="289">
        <v>1.0402367352799564</v>
      </c>
      <c r="J15" s="296">
        <v>0.8994541774218145</v>
      </c>
      <c r="K15" s="291">
        <v>276.568218</v>
      </c>
      <c r="L15" s="289"/>
      <c r="M15" s="66" t="s">
        <v>104</v>
      </c>
      <c r="N15" s="292">
        <v>0.7165359784657054</v>
      </c>
      <c r="O15" s="292">
        <v>0.7810216473166582</v>
      </c>
      <c r="P15" s="292">
        <v>1.3208282523302846</v>
      </c>
      <c r="Q15" s="292">
        <v>1.302296429131047</v>
      </c>
      <c r="R15" s="292">
        <v>0.9241379647497319</v>
      </c>
      <c r="S15" s="292">
        <v>0.9422940655822793</v>
      </c>
      <c r="T15" s="292">
        <v>1.022656359962605</v>
      </c>
      <c r="U15" s="292">
        <v>1.000916743708325</v>
      </c>
      <c r="V15" s="296">
        <v>0.9950629985122439</v>
      </c>
      <c r="W15" s="293">
        <v>2085</v>
      </c>
      <c r="X15" s="294"/>
      <c r="Y15" s="294"/>
      <c r="Z15" s="294"/>
    </row>
    <row r="16" spans="1:26" ht="12.75">
      <c r="A16" s="64" t="s">
        <v>105</v>
      </c>
      <c r="B16" s="295">
        <v>4.099788595698731</v>
      </c>
      <c r="C16" s="289">
        <v>0.6625166424352429</v>
      </c>
      <c r="D16" s="289">
        <v>0.797636467427299</v>
      </c>
      <c r="E16" s="289">
        <v>0.9637484657558643</v>
      </c>
      <c r="F16" s="289">
        <v>1.056304528817574</v>
      </c>
      <c r="G16" s="289">
        <v>0.9392655017077808</v>
      </c>
      <c r="H16" s="289">
        <v>0.9714338533776915</v>
      </c>
      <c r="I16" s="289">
        <v>0.9316014508068485</v>
      </c>
      <c r="J16" s="296">
        <v>1.06368905409656</v>
      </c>
      <c r="K16" s="291">
        <v>291.52722</v>
      </c>
      <c r="L16" s="289"/>
      <c r="M16" s="66" t="s">
        <v>105</v>
      </c>
      <c r="N16" s="292">
        <v>0.9671295993682308</v>
      </c>
      <c r="O16" s="292">
        <v>0.7879868773918687</v>
      </c>
      <c r="P16" s="292">
        <v>1.223349492277767</v>
      </c>
      <c r="Q16" s="292">
        <v>1.0671193285227853</v>
      </c>
      <c r="R16" s="292">
        <v>0.9997005107732986</v>
      </c>
      <c r="S16" s="292">
        <v>0.9729805328391947</v>
      </c>
      <c r="T16" s="292">
        <v>1.0206500935151845</v>
      </c>
      <c r="U16" s="292">
        <v>0.9273888662498276</v>
      </c>
      <c r="V16" s="296">
        <v>0.9968660969938415</v>
      </c>
      <c r="W16" s="293">
        <v>1912</v>
      </c>
      <c r="X16" s="294"/>
      <c r="Y16" s="294"/>
      <c r="Z16" s="294"/>
    </row>
    <row r="17" spans="1:26" ht="12.75">
      <c r="A17" s="64" t="s">
        <v>106</v>
      </c>
      <c r="B17" s="295">
        <v>0.6458526069691236</v>
      </c>
      <c r="C17" s="289">
        <v>0.8623377189430881</v>
      </c>
      <c r="D17" s="289">
        <v>1.119748277664226</v>
      </c>
      <c r="E17" s="289">
        <v>0.9573005373316068</v>
      </c>
      <c r="F17" s="289">
        <v>0.8450149630076719</v>
      </c>
      <c r="G17" s="289">
        <v>0.976896614990222</v>
      </c>
      <c r="H17" s="289">
        <v>0.828692319622031</v>
      </c>
      <c r="I17" s="289">
        <v>0.7547593495278352</v>
      </c>
      <c r="J17" s="296">
        <v>0.8813754832959239</v>
      </c>
      <c r="K17" s="291">
        <v>210.24084499999998</v>
      </c>
      <c r="L17" s="289"/>
      <c r="M17" s="66" t="s">
        <v>106</v>
      </c>
      <c r="N17" s="292">
        <v>1.050474551878811</v>
      </c>
      <c r="O17" s="292">
        <v>1.1136611679078303</v>
      </c>
      <c r="P17" s="292">
        <v>1.1433692569865335</v>
      </c>
      <c r="Q17" s="292">
        <v>1.1102407207975287</v>
      </c>
      <c r="R17" s="292">
        <v>1.0300160694798206</v>
      </c>
      <c r="S17" s="292">
        <v>0.936161178714631</v>
      </c>
      <c r="T17" s="292">
        <v>0.8891993160786977</v>
      </c>
      <c r="U17" s="292">
        <v>0.8669653883664488</v>
      </c>
      <c r="V17" s="296">
        <v>0.966589692610709</v>
      </c>
      <c r="W17" s="293">
        <v>1615</v>
      </c>
      <c r="X17" s="294"/>
      <c r="Y17" s="294"/>
      <c r="Z17" s="294"/>
    </row>
    <row r="18" spans="1:26" ht="12.75">
      <c r="A18" s="64" t="s">
        <v>107</v>
      </c>
      <c r="B18" s="295">
        <v>0.6149985945045324</v>
      </c>
      <c r="C18" s="289">
        <v>0.7965596389015472</v>
      </c>
      <c r="D18" s="289">
        <v>1.2055826661293922</v>
      </c>
      <c r="E18" s="289">
        <v>1.3518032268910054</v>
      </c>
      <c r="F18" s="289">
        <v>0.7234662485731083</v>
      </c>
      <c r="G18" s="289">
        <v>0.8169428711826381</v>
      </c>
      <c r="H18" s="289">
        <v>0.8553510290298544</v>
      </c>
      <c r="I18" s="289">
        <v>0.8425586924542096</v>
      </c>
      <c r="J18" s="296">
        <v>0.8791919190597421</v>
      </c>
      <c r="K18" s="291">
        <v>202.596388</v>
      </c>
      <c r="L18" s="289"/>
      <c r="M18" s="66" t="s">
        <v>107</v>
      </c>
      <c r="N18" s="292">
        <v>1.142271697231221</v>
      </c>
      <c r="O18" s="292">
        <v>1.0883610398310215</v>
      </c>
      <c r="P18" s="292">
        <v>1.4103341339793587</v>
      </c>
      <c r="Q18" s="292">
        <v>1.0557713248416039</v>
      </c>
      <c r="R18" s="292">
        <v>0.9151714552011054</v>
      </c>
      <c r="S18" s="292">
        <v>1.0221952909107042</v>
      </c>
      <c r="T18" s="292">
        <v>0.9552824213758416</v>
      </c>
      <c r="U18" s="292">
        <v>0.8362198005721123</v>
      </c>
      <c r="V18" s="296">
        <v>0.9646713320292174</v>
      </c>
      <c r="W18" s="293">
        <v>1529</v>
      </c>
      <c r="X18" s="294"/>
      <c r="Y18" s="294"/>
      <c r="Z18" s="294"/>
    </row>
    <row r="19" spans="1:26" ht="12.75">
      <c r="A19" s="64" t="s">
        <v>108</v>
      </c>
      <c r="B19" s="295">
        <v>0.9709687281823043</v>
      </c>
      <c r="C19" s="289">
        <v>1.0775110345992602</v>
      </c>
      <c r="D19" s="289">
        <v>1.9664741980147524</v>
      </c>
      <c r="E19" s="289">
        <v>0.8501829824209937</v>
      </c>
      <c r="F19" s="289">
        <v>0.8642174186304692</v>
      </c>
      <c r="G19" s="289">
        <v>0.9265900895397442</v>
      </c>
      <c r="H19" s="289">
        <v>0.8404345391107295</v>
      </c>
      <c r="I19" s="289">
        <v>0.8848521977603484</v>
      </c>
      <c r="J19" s="296">
        <v>0.9219522501593956</v>
      </c>
      <c r="K19" s="291">
        <v>235.036533</v>
      </c>
      <c r="L19" s="289"/>
      <c r="M19" s="66" t="s">
        <v>108</v>
      </c>
      <c r="N19" s="292">
        <v>1.471697654433873</v>
      </c>
      <c r="O19" s="292">
        <v>1.2685640760775994</v>
      </c>
      <c r="P19" s="292">
        <v>1.2855496251722953</v>
      </c>
      <c r="Q19" s="292">
        <v>0.9775118206136865</v>
      </c>
      <c r="R19" s="292">
        <v>0.9276206981590117</v>
      </c>
      <c r="S19" s="292">
        <v>0.9654379171183726</v>
      </c>
      <c r="T19" s="292">
        <v>0.8604840884908597</v>
      </c>
      <c r="U19" s="292">
        <v>0.8582842647062129</v>
      </c>
      <c r="V19" s="296">
        <v>0.924301121499215</v>
      </c>
      <c r="W19" s="293">
        <v>1490</v>
      </c>
      <c r="X19" s="294"/>
      <c r="Y19" s="294"/>
      <c r="Z19" s="294"/>
    </row>
    <row r="20" spans="1:26" ht="12.75">
      <c r="A20" s="64" t="s">
        <v>109</v>
      </c>
      <c r="B20" s="295">
        <v>1.10726431613999</v>
      </c>
      <c r="C20" s="289">
        <v>0.43536198693769307</v>
      </c>
      <c r="D20" s="289">
        <v>0.5456588649658001</v>
      </c>
      <c r="E20" s="289">
        <v>1.0248444193276092</v>
      </c>
      <c r="F20" s="289">
        <v>0.8127914270916682</v>
      </c>
      <c r="G20" s="289">
        <v>1.0233999007631533</v>
      </c>
      <c r="H20" s="289">
        <v>0.9683262869421021</v>
      </c>
      <c r="I20" s="289">
        <v>0.8913298086936822</v>
      </c>
      <c r="J20" s="296">
        <v>0.9237955959282546</v>
      </c>
      <c r="K20" s="291">
        <v>299.108139</v>
      </c>
      <c r="L20" s="289"/>
      <c r="M20" s="66" t="s">
        <v>109</v>
      </c>
      <c r="N20" s="292">
        <v>0.9463155205208513</v>
      </c>
      <c r="O20" s="292">
        <v>0.8786901324353399</v>
      </c>
      <c r="P20" s="292">
        <v>1.0797462654640826</v>
      </c>
      <c r="Q20" s="292">
        <v>1.00976122796698</v>
      </c>
      <c r="R20" s="292">
        <v>0.9877436079590979</v>
      </c>
      <c r="S20" s="292">
        <v>1.0176806130703404</v>
      </c>
      <c r="T20" s="292">
        <v>0.9872617901413279</v>
      </c>
      <c r="U20" s="292">
        <v>1.0495725212225584</v>
      </c>
      <c r="V20" s="296">
        <v>1.0043971066296893</v>
      </c>
      <c r="W20" s="293">
        <v>1717</v>
      </c>
      <c r="X20" s="294"/>
      <c r="Y20" s="294"/>
      <c r="Z20" s="294"/>
    </row>
    <row r="21" spans="1:26" ht="12.75">
      <c r="A21" s="64" t="s">
        <v>110</v>
      </c>
      <c r="B21" s="295">
        <v>0.8103898849734589</v>
      </c>
      <c r="C21" s="289">
        <v>0.9963349297521619</v>
      </c>
      <c r="D21" s="289">
        <v>0.9396115719873152</v>
      </c>
      <c r="E21" s="289">
        <v>0.8335529963975539</v>
      </c>
      <c r="F21" s="289">
        <v>0.9014808133018283</v>
      </c>
      <c r="G21" s="289">
        <v>1.2848911918905062</v>
      </c>
      <c r="H21" s="289">
        <v>1.2099543189456072</v>
      </c>
      <c r="I21" s="289">
        <v>1.1627619417218271</v>
      </c>
      <c r="J21" s="296">
        <v>1.0872672964360464</v>
      </c>
      <c r="K21" s="291">
        <v>364.020587</v>
      </c>
      <c r="L21" s="289"/>
      <c r="M21" s="66" t="s">
        <v>110</v>
      </c>
      <c r="N21" s="292">
        <v>0.9072663610907151</v>
      </c>
      <c r="O21" s="292">
        <v>0.9242656709244509</v>
      </c>
      <c r="P21" s="292">
        <v>0.9306320937783855</v>
      </c>
      <c r="Q21" s="292">
        <v>0.9349221343422397</v>
      </c>
      <c r="R21" s="292">
        <v>0.8780206275278575</v>
      </c>
      <c r="S21" s="292">
        <v>1.0201001117379234</v>
      </c>
      <c r="T21" s="292">
        <v>1.0202784496855102</v>
      </c>
      <c r="U21" s="292">
        <v>1.1460525070323055</v>
      </c>
      <c r="V21" s="296">
        <v>0.9865390416176731</v>
      </c>
      <c r="W21" s="293">
        <v>1506</v>
      </c>
      <c r="X21" s="294"/>
      <c r="Y21" s="294"/>
      <c r="Z21" s="294"/>
    </row>
    <row r="22" spans="1:26" ht="12.75">
      <c r="A22" s="64" t="s">
        <v>111</v>
      </c>
      <c r="B22" s="295">
        <v>1.3029368475502088</v>
      </c>
      <c r="C22" s="289">
        <v>0.5031307284534665</v>
      </c>
      <c r="D22" s="289">
        <v>0.7047823624717862</v>
      </c>
      <c r="E22" s="289">
        <v>1.2836786458786318</v>
      </c>
      <c r="F22" s="289">
        <v>0.8741307932981869</v>
      </c>
      <c r="G22" s="289">
        <v>0.923865016834017</v>
      </c>
      <c r="H22" s="289">
        <v>1.2233313588194874</v>
      </c>
      <c r="I22" s="289">
        <v>2.6870483199192963</v>
      </c>
      <c r="J22" s="296">
        <v>0.9489033359347048</v>
      </c>
      <c r="K22" s="291">
        <v>290.58604299999996</v>
      </c>
      <c r="L22" s="289"/>
      <c r="M22" s="66" t="s">
        <v>111</v>
      </c>
      <c r="N22" s="292">
        <v>0.5659110998934953</v>
      </c>
      <c r="O22" s="292">
        <v>0.7059720529196654</v>
      </c>
      <c r="P22" s="292">
        <v>0.7886920890112802</v>
      </c>
      <c r="Q22" s="292">
        <v>0.9973013763497736</v>
      </c>
      <c r="R22" s="292">
        <v>0.9844679680754694</v>
      </c>
      <c r="S22" s="292">
        <v>0.8805405179946943</v>
      </c>
      <c r="T22" s="292">
        <v>0.9942995521526015</v>
      </c>
      <c r="U22" s="292">
        <v>1.975636910475757</v>
      </c>
      <c r="V22" s="296">
        <v>0.93411736153107</v>
      </c>
      <c r="W22" s="293">
        <v>978</v>
      </c>
      <c r="X22" s="294"/>
      <c r="Y22" s="294"/>
      <c r="Z22" s="294"/>
    </row>
    <row r="23" spans="1:26" ht="12.75">
      <c r="A23" s="64" t="s">
        <v>112</v>
      </c>
      <c r="B23" s="295">
        <v>0.4349414767967778</v>
      </c>
      <c r="C23" s="289">
        <v>1.1734984326297426</v>
      </c>
      <c r="D23" s="289">
        <v>0.5036775386473801</v>
      </c>
      <c r="E23" s="289">
        <v>0.7283749457333644</v>
      </c>
      <c r="F23" s="289">
        <v>0.7805241815526993</v>
      </c>
      <c r="G23" s="289">
        <v>1.0123479502461796</v>
      </c>
      <c r="H23" s="289">
        <v>1.2704438336814996</v>
      </c>
      <c r="I23" s="289">
        <v>2.499526461614389</v>
      </c>
      <c r="J23" s="296">
        <v>0.805838417663881</v>
      </c>
      <c r="K23" s="291">
        <v>181.22634399999998</v>
      </c>
      <c r="L23" s="289"/>
      <c r="M23" s="66" t="s">
        <v>112</v>
      </c>
      <c r="N23" s="292">
        <v>0.8110545257211197</v>
      </c>
      <c r="O23" s="292">
        <v>0.9827449639234325</v>
      </c>
      <c r="P23" s="292">
        <v>0.7827019627466253</v>
      </c>
      <c r="Q23" s="292">
        <v>0.7747247882418915</v>
      </c>
      <c r="R23" s="292">
        <v>0.8227223833293608</v>
      </c>
      <c r="S23" s="292">
        <v>0.8539963838642438</v>
      </c>
      <c r="T23" s="292">
        <v>1.2629380105821575</v>
      </c>
      <c r="U23" s="292">
        <v>2.499500099980004</v>
      </c>
      <c r="V23" s="296">
        <v>0.8413921042713197</v>
      </c>
      <c r="W23" s="293">
        <v>448</v>
      </c>
      <c r="X23" s="297"/>
      <c r="Y23" s="297"/>
      <c r="Z23" s="294"/>
    </row>
    <row r="24" spans="1:26" ht="12.75">
      <c r="A24" s="66" t="s">
        <v>113</v>
      </c>
      <c r="B24" s="295">
        <v>0</v>
      </c>
      <c r="C24" s="289">
        <v>0.4868419369599969</v>
      </c>
      <c r="D24" s="289">
        <v>0.1894559255370918</v>
      </c>
      <c r="E24" s="289">
        <v>0.4142573081696514</v>
      </c>
      <c r="F24" s="289">
        <v>0.9072372937239396</v>
      </c>
      <c r="G24" s="289">
        <v>1.3771468957287551</v>
      </c>
      <c r="H24" s="289">
        <v>0.31484025665424215</v>
      </c>
      <c r="I24" s="289"/>
      <c r="J24" s="296">
        <v>0.534748985397239</v>
      </c>
      <c r="K24" s="291">
        <v>36.620743999999995</v>
      </c>
      <c r="L24" s="289"/>
      <c r="M24" s="66" t="s">
        <v>113</v>
      </c>
      <c r="N24" s="292">
        <v>0</v>
      </c>
      <c r="O24" s="292">
        <v>0.6423357039089342</v>
      </c>
      <c r="P24" s="292">
        <v>0.3606310425019138</v>
      </c>
      <c r="Q24" s="292">
        <v>0.44465343155727627</v>
      </c>
      <c r="R24" s="292">
        <v>0.9034658077718387</v>
      </c>
      <c r="S24" s="292">
        <v>1.467525136259709</v>
      </c>
      <c r="T24" s="292">
        <v>0.7785554681843306</v>
      </c>
      <c r="U24" s="292"/>
      <c r="V24" s="296">
        <v>0.7090792343520003</v>
      </c>
      <c r="W24" s="293">
        <v>81</v>
      </c>
      <c r="X24" s="297"/>
      <c r="Y24" s="297"/>
      <c r="Z24" s="294"/>
    </row>
    <row r="25" spans="1:23" ht="13.5" thickBot="1">
      <c r="A25" s="66" t="s">
        <v>114</v>
      </c>
      <c r="B25" s="303">
        <v>0</v>
      </c>
      <c r="C25" s="304">
        <v>0</v>
      </c>
      <c r="D25" s="304">
        <v>0.7345082049407838</v>
      </c>
      <c r="E25" s="304">
        <v>1.0632065164401583</v>
      </c>
      <c r="F25" s="304">
        <v>0</v>
      </c>
      <c r="G25" s="304">
        <v>1.1709591005618292</v>
      </c>
      <c r="H25" s="304"/>
      <c r="I25" s="304"/>
      <c r="J25" s="305">
        <v>0.7298646543320287</v>
      </c>
      <c r="K25" s="291">
        <v>1.494754</v>
      </c>
      <c r="L25" s="289"/>
      <c r="M25" s="66" t="s">
        <v>114</v>
      </c>
      <c r="N25" s="292">
        <v>0</v>
      </c>
      <c r="O25" s="292">
        <v>0</v>
      </c>
      <c r="P25" s="292">
        <v>1.1496631486974316</v>
      </c>
      <c r="Q25" s="292">
        <v>1.2655184196205977</v>
      </c>
      <c r="R25" s="292">
        <v>0</v>
      </c>
      <c r="S25" s="292">
        <v>1.3116130216940793</v>
      </c>
      <c r="T25" s="292"/>
      <c r="U25" s="292"/>
      <c r="V25" s="305">
        <v>0.9588334448776241</v>
      </c>
      <c r="W25" s="293">
        <v>5</v>
      </c>
    </row>
    <row r="26" spans="1:26" ht="13.5" thickTop="1">
      <c r="A26" s="75" t="s">
        <v>84</v>
      </c>
      <c r="B26" s="76">
        <v>1.0067276357391073</v>
      </c>
      <c r="C26" s="76">
        <v>0.7890085857020465</v>
      </c>
      <c r="D26" s="76">
        <v>0.8435600902452427</v>
      </c>
      <c r="E26" s="76">
        <v>1.0386982019924478</v>
      </c>
      <c r="F26" s="76">
        <v>0.8749028938907583</v>
      </c>
      <c r="G26" s="76">
        <v>0.989522609708144</v>
      </c>
      <c r="H26" s="76">
        <v>0.9651006787297397</v>
      </c>
      <c r="I26" s="76">
        <v>0.9360103936979542</v>
      </c>
      <c r="J26" s="86">
        <v>0.9377326921328222</v>
      </c>
      <c r="K26" s="74"/>
      <c r="L26" s="74"/>
      <c r="M26" s="77" t="s">
        <v>84</v>
      </c>
      <c r="N26" s="81">
        <v>0.9145081226611445</v>
      </c>
      <c r="O26" s="81">
        <v>0.9185060789409365</v>
      </c>
      <c r="P26" s="81">
        <v>1.033034501980922</v>
      </c>
      <c r="Q26" s="81">
        <v>1.049343675451688</v>
      </c>
      <c r="R26" s="81">
        <v>0.9662655276042235</v>
      </c>
      <c r="S26" s="81">
        <v>0.9713699077488412</v>
      </c>
      <c r="T26" s="81">
        <v>0.9730434125281674</v>
      </c>
      <c r="U26" s="81">
        <v>0.9356847612733422</v>
      </c>
      <c r="V26" s="86">
        <v>0.9710985662823065</v>
      </c>
      <c r="W26" s="56"/>
      <c r="X26" s="55"/>
      <c r="Y26" s="55"/>
      <c r="Z26" s="55"/>
    </row>
    <row r="27" spans="1:26" s="54" customFormat="1" ht="15">
      <c r="A27" s="64"/>
      <c r="B27" s="64"/>
      <c r="C27" s="78"/>
      <c r="D27" s="78"/>
      <c r="E27" s="78"/>
      <c r="F27" s="78"/>
      <c r="G27" s="747" t="s">
        <v>68</v>
      </c>
      <c r="H27" s="747"/>
      <c r="I27" s="747"/>
      <c r="J27" s="747"/>
      <c r="K27" s="747"/>
      <c r="L27" s="747"/>
      <c r="M27" s="747"/>
      <c r="N27" s="747"/>
      <c r="O27" s="747"/>
      <c r="P27" s="78"/>
      <c r="Q27" s="78"/>
      <c r="R27" s="78"/>
      <c r="S27" s="79"/>
      <c r="T27" s="80"/>
      <c r="U27" s="80"/>
      <c r="V27" s="80"/>
      <c r="W27" s="46"/>
      <c r="X27" s="56"/>
      <c r="Y27" s="53"/>
      <c r="Z27" s="53"/>
    </row>
    <row r="28" spans="1:29" ht="15">
      <c r="A28" s="69"/>
      <c r="B28" s="746" t="s">
        <v>70</v>
      </c>
      <c r="C28" s="746"/>
      <c r="D28" s="746"/>
      <c r="E28" s="746"/>
      <c r="F28" s="746"/>
      <c r="G28" s="746"/>
      <c r="H28" s="746"/>
      <c r="I28" s="746"/>
      <c r="J28" s="70"/>
      <c r="K28" s="70"/>
      <c r="L28" s="71"/>
      <c r="M28" s="71"/>
      <c r="N28" s="746" t="s">
        <v>257</v>
      </c>
      <c r="O28" s="746"/>
      <c r="P28" s="746"/>
      <c r="Q28" s="746"/>
      <c r="R28" s="746"/>
      <c r="S28" s="746"/>
      <c r="T28" s="746"/>
      <c r="U28" s="746"/>
      <c r="V28" s="70"/>
      <c r="W28" s="55"/>
      <c r="X28" s="46"/>
      <c r="Y28" s="46"/>
      <c r="Z28" s="45"/>
      <c r="AC28" s="275"/>
    </row>
    <row r="29" spans="1:29" ht="15" customHeight="1">
      <c r="A29" s="741" t="s">
        <v>11</v>
      </c>
      <c r="B29" s="743" t="s">
        <v>28</v>
      </c>
      <c r="C29" s="744"/>
      <c r="D29" s="744"/>
      <c r="E29" s="744"/>
      <c r="F29" s="744"/>
      <c r="G29" s="744"/>
      <c r="H29" s="744"/>
      <c r="I29" s="745"/>
      <c r="J29" s="754" t="s">
        <v>84</v>
      </c>
      <c r="K29" s="70"/>
      <c r="L29" s="71"/>
      <c r="M29" s="741" t="s">
        <v>11</v>
      </c>
      <c r="N29" s="743" t="s">
        <v>28</v>
      </c>
      <c r="O29" s="744"/>
      <c r="P29" s="744"/>
      <c r="Q29" s="744"/>
      <c r="R29" s="744"/>
      <c r="S29" s="744"/>
      <c r="T29" s="744"/>
      <c r="U29" s="745"/>
      <c r="V29" s="754" t="s">
        <v>84</v>
      </c>
      <c r="W29" s="55"/>
      <c r="X29" s="46"/>
      <c r="Y29" s="46"/>
      <c r="Z29" s="45"/>
      <c r="AC29" s="275"/>
    </row>
    <row r="30" spans="1:26" ht="12.75">
      <c r="A30" s="742"/>
      <c r="B30" s="72" t="s">
        <v>115</v>
      </c>
      <c r="C30" s="73" t="s">
        <v>116</v>
      </c>
      <c r="D30" s="73" t="s">
        <v>117</v>
      </c>
      <c r="E30" s="73" t="s">
        <v>118</v>
      </c>
      <c r="F30" s="73" t="s">
        <v>119</v>
      </c>
      <c r="G30" s="73" t="s">
        <v>34</v>
      </c>
      <c r="H30" s="73" t="s">
        <v>35</v>
      </c>
      <c r="I30" s="665" t="s">
        <v>36</v>
      </c>
      <c r="J30" s="755"/>
      <c r="K30" s="73" t="s">
        <v>129</v>
      </c>
      <c r="L30" s="74"/>
      <c r="M30" s="742"/>
      <c r="N30" s="72" t="s">
        <v>115</v>
      </c>
      <c r="O30" s="73" t="s">
        <v>116</v>
      </c>
      <c r="P30" s="73" t="s">
        <v>117</v>
      </c>
      <c r="Q30" s="73" t="s">
        <v>118</v>
      </c>
      <c r="R30" s="73" t="s">
        <v>119</v>
      </c>
      <c r="S30" s="73" t="s">
        <v>34</v>
      </c>
      <c r="T30" s="73" t="s">
        <v>35</v>
      </c>
      <c r="U30" s="665" t="s">
        <v>36</v>
      </c>
      <c r="V30" s="755"/>
      <c r="W30" s="73" t="s">
        <v>128</v>
      </c>
      <c r="X30" s="55"/>
      <c r="Y30" s="55"/>
      <c r="Z30" s="55"/>
    </row>
    <row r="31" spans="1:26" ht="12.75">
      <c r="A31" s="64" t="s">
        <v>16</v>
      </c>
      <c r="B31" s="288">
        <v>0.9057757039608554</v>
      </c>
      <c r="C31" s="289">
        <v>0.06498898151391347</v>
      </c>
      <c r="D31" s="289">
        <v>0.9398619093030004</v>
      </c>
      <c r="E31" s="289">
        <v>1.3891532799712063</v>
      </c>
      <c r="F31" s="289">
        <v>1.1838939189308717</v>
      </c>
      <c r="G31" s="289">
        <v>0.8213157672757505</v>
      </c>
      <c r="H31" s="289">
        <v>0.7160718522298434</v>
      </c>
      <c r="I31" s="289">
        <v>0.7225131521743093</v>
      </c>
      <c r="J31" s="296">
        <v>0.8427859185190832</v>
      </c>
      <c r="K31" s="291">
        <v>7.78805</v>
      </c>
      <c r="L31" s="289"/>
      <c r="M31" s="66" t="s">
        <v>16</v>
      </c>
      <c r="N31" s="292">
        <v>0.7726070620921117</v>
      </c>
      <c r="O31" s="292">
        <v>0.10318565059068627</v>
      </c>
      <c r="P31" s="292">
        <v>0.9647550848622692</v>
      </c>
      <c r="Q31" s="292">
        <v>0.7585558781759254</v>
      </c>
      <c r="R31" s="292">
        <v>1.5743365960266602</v>
      </c>
      <c r="S31" s="292">
        <v>0.9437739903977739</v>
      </c>
      <c r="T31" s="292">
        <v>0.691212545784191</v>
      </c>
      <c r="U31" s="292">
        <v>0.7954913422465806</v>
      </c>
      <c r="V31" s="308">
        <v>0.8285162496235782</v>
      </c>
      <c r="W31" s="111">
        <v>101</v>
      </c>
      <c r="X31" s="56"/>
      <c r="Y31" s="294"/>
      <c r="Z31" s="294"/>
    </row>
    <row r="32" spans="1:26" ht="12.75">
      <c r="A32" s="64" t="s">
        <v>17</v>
      </c>
      <c r="B32" s="295">
        <v>0.3801086173977707</v>
      </c>
      <c r="C32" s="289">
        <v>0.3819005951021209</v>
      </c>
      <c r="D32" s="289">
        <v>1.2105660924645565</v>
      </c>
      <c r="E32" s="289">
        <v>1.1434170562094332</v>
      </c>
      <c r="F32" s="289">
        <v>0.7651180955706872</v>
      </c>
      <c r="G32" s="289">
        <v>0.8228480612747461</v>
      </c>
      <c r="H32" s="289">
        <v>0.9550349883990433</v>
      </c>
      <c r="I32" s="289">
        <v>0.954079219273101</v>
      </c>
      <c r="J32" s="296">
        <v>0.8633657378100756</v>
      </c>
      <c r="K32" s="291">
        <v>15.465569</v>
      </c>
      <c r="L32" s="289"/>
      <c r="M32" s="66" t="s">
        <v>17</v>
      </c>
      <c r="N32" s="292">
        <v>0.6559387877923234</v>
      </c>
      <c r="O32" s="292">
        <v>0.6178127780157501</v>
      </c>
      <c r="P32" s="292">
        <v>1.5378897589357805</v>
      </c>
      <c r="Q32" s="292">
        <v>1.1455482721313566</v>
      </c>
      <c r="R32" s="292">
        <v>0.7921951268325241</v>
      </c>
      <c r="S32" s="292">
        <v>0.9098092691903528</v>
      </c>
      <c r="T32" s="292">
        <v>0.9580601894055956</v>
      </c>
      <c r="U32" s="292">
        <v>0.9655226552544687</v>
      </c>
      <c r="V32" s="308">
        <v>0.9322118940566605</v>
      </c>
      <c r="W32" s="111">
        <v>187</v>
      </c>
      <c r="X32" s="294"/>
      <c r="Y32" s="294"/>
      <c r="Z32" s="294"/>
    </row>
    <row r="33" spans="1:26" ht="12.75">
      <c r="A33" s="64" t="s">
        <v>18</v>
      </c>
      <c r="B33" s="295">
        <v>0.1645118670928899</v>
      </c>
      <c r="C33" s="289">
        <v>0.9496916925669366</v>
      </c>
      <c r="D33" s="289">
        <v>1.4814999637770208</v>
      </c>
      <c r="E33" s="289">
        <v>1.015949217435389</v>
      </c>
      <c r="F33" s="289">
        <v>0.7622724782606684</v>
      </c>
      <c r="G33" s="289">
        <v>0.9836831333619922</v>
      </c>
      <c r="H33" s="289">
        <v>1.0460659639277499</v>
      </c>
      <c r="I33" s="289">
        <v>1.1695084051872535</v>
      </c>
      <c r="J33" s="296">
        <v>0.9818168362726719</v>
      </c>
      <c r="K33" s="291">
        <v>37.336869</v>
      </c>
      <c r="L33" s="289"/>
      <c r="M33" s="66" t="s">
        <v>18</v>
      </c>
      <c r="N33" s="292">
        <v>0.3356673402391294</v>
      </c>
      <c r="O33" s="292">
        <v>0.7859905052346967</v>
      </c>
      <c r="P33" s="292">
        <v>0.9306610951089106</v>
      </c>
      <c r="Q33" s="292">
        <v>1.043472453718518</v>
      </c>
      <c r="R33" s="292">
        <v>0.9712028823778096</v>
      </c>
      <c r="S33" s="292">
        <v>1.156237864366406</v>
      </c>
      <c r="T33" s="292">
        <v>1.1091088864651697</v>
      </c>
      <c r="U33" s="292">
        <v>1.1808576328229807</v>
      </c>
      <c r="V33" s="308">
        <v>1.0952236941400577</v>
      </c>
      <c r="W33" s="111">
        <v>434</v>
      </c>
      <c r="X33" s="294"/>
      <c r="Y33" s="294"/>
      <c r="Z33" s="294"/>
    </row>
    <row r="34" spans="1:26" ht="12.75">
      <c r="A34" s="64" t="s">
        <v>19</v>
      </c>
      <c r="B34" s="295">
        <v>0.2473959349952994</v>
      </c>
      <c r="C34" s="289">
        <v>0.4377387817641943</v>
      </c>
      <c r="D34" s="289">
        <v>0.7006231578999863</v>
      </c>
      <c r="E34" s="289">
        <v>0.6667549011521269</v>
      </c>
      <c r="F34" s="289">
        <v>1.0908492821315874</v>
      </c>
      <c r="G34" s="289">
        <v>0.8584431811938663</v>
      </c>
      <c r="H34" s="289">
        <v>0.8955953566456515</v>
      </c>
      <c r="I34" s="289">
        <v>0.9117109573593496</v>
      </c>
      <c r="J34" s="296">
        <v>0.8830765281809977</v>
      </c>
      <c r="K34" s="291">
        <v>52.645828</v>
      </c>
      <c r="L34" s="289"/>
      <c r="M34" s="66" t="s">
        <v>19</v>
      </c>
      <c r="N34" s="292">
        <v>0.46452356140924056</v>
      </c>
      <c r="O34" s="292">
        <v>0.6465963169873784</v>
      </c>
      <c r="P34" s="292">
        <v>1.1143377379389654</v>
      </c>
      <c r="Q34" s="292">
        <v>1.0215716644309953</v>
      </c>
      <c r="R34" s="292">
        <v>1.1554416660955298</v>
      </c>
      <c r="S34" s="292">
        <v>1.012492373329896</v>
      </c>
      <c r="T34" s="292">
        <v>0.9683899808498276</v>
      </c>
      <c r="U34" s="292">
        <v>0.9896892215354248</v>
      </c>
      <c r="V34" s="308">
        <v>1.0095032957758838</v>
      </c>
      <c r="W34" s="111">
        <v>600</v>
      </c>
      <c r="X34" s="294"/>
      <c r="Y34" s="294"/>
      <c r="Z34" s="294"/>
    </row>
    <row r="35" spans="1:26" ht="12.75">
      <c r="A35" s="64" t="s">
        <v>104</v>
      </c>
      <c r="B35" s="295">
        <v>0.8134408732879577</v>
      </c>
      <c r="C35" s="289">
        <v>0.6696166264474289</v>
      </c>
      <c r="D35" s="289">
        <v>0.5022963411787231</v>
      </c>
      <c r="E35" s="289">
        <v>0.7261077373487623</v>
      </c>
      <c r="F35" s="289">
        <v>0.958843820432735</v>
      </c>
      <c r="G35" s="289">
        <v>0.8809515544562823</v>
      </c>
      <c r="H35" s="289">
        <v>0.8262268561467738</v>
      </c>
      <c r="I35" s="289">
        <v>0.9278679475840251</v>
      </c>
      <c r="J35" s="296">
        <v>0.8540429164797685</v>
      </c>
      <c r="K35" s="291">
        <v>60.138634</v>
      </c>
      <c r="L35" s="289"/>
      <c r="M35" s="66" t="s">
        <v>104</v>
      </c>
      <c r="N35" s="292">
        <v>0.8008253840291394</v>
      </c>
      <c r="O35" s="292">
        <v>0.77262901616855</v>
      </c>
      <c r="P35" s="292">
        <v>0.8051383932255655</v>
      </c>
      <c r="Q35" s="292">
        <v>1.007962398970669</v>
      </c>
      <c r="R35" s="292">
        <v>1.090480008268954</v>
      </c>
      <c r="S35" s="292">
        <v>0.8873297451350313</v>
      </c>
      <c r="T35" s="292">
        <v>0.922862790513746</v>
      </c>
      <c r="U35" s="292">
        <v>1.0068307986949483</v>
      </c>
      <c r="V35" s="308">
        <v>0.956697680031565</v>
      </c>
      <c r="W35" s="111">
        <v>653</v>
      </c>
      <c r="X35" s="294"/>
      <c r="Y35" s="294"/>
      <c r="Z35" s="294"/>
    </row>
    <row r="36" spans="1:26" ht="12.75">
      <c r="A36" s="64" t="s">
        <v>105</v>
      </c>
      <c r="B36" s="295">
        <v>0.7105964364069836</v>
      </c>
      <c r="C36" s="289">
        <v>0.6951615572400212</v>
      </c>
      <c r="D36" s="289">
        <v>1.0123997960534936</v>
      </c>
      <c r="E36" s="289">
        <v>0.8670051924586581</v>
      </c>
      <c r="F36" s="289">
        <v>1.0045520730023987</v>
      </c>
      <c r="G36" s="289">
        <v>0.9437476471255931</v>
      </c>
      <c r="H36" s="289">
        <v>1.1140336344601391</v>
      </c>
      <c r="I36" s="289">
        <v>1.1293673695525512</v>
      </c>
      <c r="J36" s="296">
        <v>0.9970704790606141</v>
      </c>
      <c r="K36" s="291">
        <v>70.228381</v>
      </c>
      <c r="L36" s="289"/>
      <c r="M36" s="66" t="s">
        <v>105</v>
      </c>
      <c r="N36" s="292">
        <v>0.9963245587029452</v>
      </c>
      <c r="O36" s="292">
        <v>0.9456667186783361</v>
      </c>
      <c r="P36" s="292">
        <v>0.9640718766623151</v>
      </c>
      <c r="Q36" s="292">
        <v>0.9184622210583134</v>
      </c>
      <c r="R36" s="292">
        <v>1.1246610818631682</v>
      </c>
      <c r="S36" s="292">
        <v>0.9720827795784849</v>
      </c>
      <c r="T36" s="292">
        <v>1.2423582188080153</v>
      </c>
      <c r="U36" s="292">
        <v>1.129769341449381</v>
      </c>
      <c r="V36" s="308">
        <v>1.099565137912692</v>
      </c>
      <c r="W36" s="111">
        <v>725</v>
      </c>
      <c r="X36" s="294"/>
      <c r="Y36" s="294"/>
      <c r="Z36" s="294"/>
    </row>
    <row r="37" spans="1:26" ht="12.75">
      <c r="A37" s="64" t="s">
        <v>106</v>
      </c>
      <c r="B37" s="295">
        <v>0.6231229907061302</v>
      </c>
      <c r="C37" s="289">
        <v>0.687708059045471</v>
      </c>
      <c r="D37" s="289">
        <v>2.0156777950002787</v>
      </c>
      <c r="E37" s="289">
        <v>0.8117248785166097</v>
      </c>
      <c r="F37" s="289">
        <v>0.7843153355825564</v>
      </c>
      <c r="G37" s="289">
        <v>0.9647534004785439</v>
      </c>
      <c r="H37" s="289">
        <v>0.9495925495362657</v>
      </c>
      <c r="I37" s="289">
        <v>0.704325992495735</v>
      </c>
      <c r="J37" s="296">
        <v>0.8954212581619738</v>
      </c>
      <c r="K37" s="291">
        <v>56.323258</v>
      </c>
      <c r="L37" s="289"/>
      <c r="M37" s="66" t="s">
        <v>106</v>
      </c>
      <c r="N37" s="292">
        <v>0.8579146301407471</v>
      </c>
      <c r="O37" s="292">
        <v>1.1490432163361117</v>
      </c>
      <c r="P37" s="292">
        <v>1.1309116744677394</v>
      </c>
      <c r="Q37" s="292">
        <v>0.929871422029119</v>
      </c>
      <c r="R37" s="292">
        <v>0.9176599191790324</v>
      </c>
      <c r="S37" s="292">
        <v>1.0021907538232713</v>
      </c>
      <c r="T37" s="292">
        <v>1.0998502221409698</v>
      </c>
      <c r="U37" s="292">
        <v>0.7760997181424102</v>
      </c>
      <c r="V37" s="308">
        <v>0.9773771067469359</v>
      </c>
      <c r="W37" s="111">
        <v>531</v>
      </c>
      <c r="X37" s="294"/>
      <c r="Y37" s="294"/>
      <c r="Z37" s="294"/>
    </row>
    <row r="38" spans="1:26" ht="12.75">
      <c r="A38" s="64" t="s">
        <v>107</v>
      </c>
      <c r="B38" s="295">
        <v>0.33401689542331703</v>
      </c>
      <c r="C38" s="289">
        <v>0.6150585243931327</v>
      </c>
      <c r="D38" s="289">
        <v>0.6371943997774621</v>
      </c>
      <c r="E38" s="289">
        <v>0.7631513032949778</v>
      </c>
      <c r="F38" s="289">
        <v>1.0744105954308962</v>
      </c>
      <c r="G38" s="289">
        <v>0.8394049127827459</v>
      </c>
      <c r="H38" s="289">
        <v>0.6899196263507037</v>
      </c>
      <c r="I38" s="289">
        <v>0.8647174443004378</v>
      </c>
      <c r="J38" s="296">
        <v>0.8186395914861443</v>
      </c>
      <c r="K38" s="291">
        <v>48.565253</v>
      </c>
      <c r="L38" s="289"/>
      <c r="M38" s="66" t="s">
        <v>107</v>
      </c>
      <c r="N38" s="292">
        <v>0.822333255485785</v>
      </c>
      <c r="O38" s="292">
        <v>1.1131823048540819</v>
      </c>
      <c r="P38" s="292">
        <v>1.088723161029932</v>
      </c>
      <c r="Q38" s="292">
        <v>0.750428917027889</v>
      </c>
      <c r="R38" s="292">
        <v>1.0611084980971623</v>
      </c>
      <c r="S38" s="292">
        <v>0.9601858919886889</v>
      </c>
      <c r="T38" s="292">
        <v>0.841201696742647</v>
      </c>
      <c r="U38" s="292">
        <v>0.8163836390187669</v>
      </c>
      <c r="V38" s="308">
        <v>0.9032366907253496</v>
      </c>
      <c r="W38" s="111">
        <v>413</v>
      </c>
      <c r="X38" s="294"/>
      <c r="Y38" s="294"/>
      <c r="Z38" s="294"/>
    </row>
    <row r="39" spans="1:26" ht="12.75">
      <c r="A39" s="64" t="s">
        <v>108</v>
      </c>
      <c r="B39" s="295">
        <v>0.22988642621240368</v>
      </c>
      <c r="C39" s="289">
        <v>0.9615685764342635</v>
      </c>
      <c r="D39" s="289">
        <v>0.30066173428052706</v>
      </c>
      <c r="E39" s="289">
        <v>0.49295375045345413</v>
      </c>
      <c r="F39" s="289">
        <v>1.1116351525843775</v>
      </c>
      <c r="G39" s="289">
        <v>1.32260490635897</v>
      </c>
      <c r="H39" s="289">
        <v>1.0309647061737974</v>
      </c>
      <c r="I39" s="289">
        <v>1.3685063216584339</v>
      </c>
      <c r="J39" s="296">
        <v>1.0496034723199694</v>
      </c>
      <c r="K39" s="291">
        <v>66.653659</v>
      </c>
      <c r="L39" s="289"/>
      <c r="M39" s="66" t="s">
        <v>108</v>
      </c>
      <c r="N39" s="292">
        <v>0.46429566347850315</v>
      </c>
      <c r="O39" s="292">
        <v>1.296589709745428</v>
      </c>
      <c r="P39" s="292">
        <v>0.7445053180945503</v>
      </c>
      <c r="Q39" s="292">
        <v>0.9187028375285522</v>
      </c>
      <c r="R39" s="292">
        <v>1.268834781233109</v>
      </c>
      <c r="S39" s="292">
        <v>1.2217276291047396</v>
      </c>
      <c r="T39" s="292">
        <v>1.004370917199399</v>
      </c>
      <c r="U39" s="292">
        <v>1.0758154498768466</v>
      </c>
      <c r="V39" s="308">
        <v>1.0840332362039569</v>
      </c>
      <c r="W39" s="111">
        <v>425</v>
      </c>
      <c r="X39" s="294"/>
      <c r="Y39" s="294"/>
      <c r="Z39" s="294"/>
    </row>
    <row r="40" spans="1:26" ht="12.75">
      <c r="A40" s="64" t="s">
        <v>109</v>
      </c>
      <c r="B40" s="295">
        <v>0.11546321762193458</v>
      </c>
      <c r="C40" s="289">
        <v>1.8931293530362858</v>
      </c>
      <c r="D40" s="289">
        <v>0.6991073787586947</v>
      </c>
      <c r="E40" s="289">
        <v>0.7249214005285474</v>
      </c>
      <c r="F40" s="289">
        <v>0.9804310951599796</v>
      </c>
      <c r="G40" s="289">
        <v>1.1670802566061063</v>
      </c>
      <c r="H40" s="289">
        <v>0.7995852460379137</v>
      </c>
      <c r="I40" s="289">
        <v>0.6939056513702185</v>
      </c>
      <c r="J40" s="296">
        <v>0.9254229112203786</v>
      </c>
      <c r="K40" s="291">
        <v>51.173627</v>
      </c>
      <c r="L40" s="289"/>
      <c r="M40" s="66" t="s">
        <v>109</v>
      </c>
      <c r="N40" s="292">
        <v>0.34977264777894357</v>
      </c>
      <c r="O40" s="292">
        <v>1.87191134627864</v>
      </c>
      <c r="P40" s="292">
        <v>0.9814425569850084</v>
      </c>
      <c r="Q40" s="292">
        <v>1.1894228589892941</v>
      </c>
      <c r="R40" s="292">
        <v>1.2291187283408265</v>
      </c>
      <c r="S40" s="292">
        <v>1.147835131436687</v>
      </c>
      <c r="T40" s="292">
        <v>0.8345634450779018</v>
      </c>
      <c r="U40" s="292">
        <v>0.7586395248433755</v>
      </c>
      <c r="V40" s="308">
        <v>0.9840853776019456</v>
      </c>
      <c r="W40" s="111">
        <v>311</v>
      </c>
      <c r="X40" s="294"/>
      <c r="Y40" s="294"/>
      <c r="Z40" s="294"/>
    </row>
    <row r="41" spans="1:26" ht="12.75">
      <c r="A41" s="64" t="s">
        <v>110</v>
      </c>
      <c r="B41" s="295">
        <v>0.053075299667262085</v>
      </c>
      <c r="C41" s="289">
        <v>0.4150868581258449</v>
      </c>
      <c r="D41" s="289">
        <v>0.41129155717644544</v>
      </c>
      <c r="E41" s="289">
        <v>0.7653391984111604</v>
      </c>
      <c r="F41" s="289">
        <v>1.431212559111602</v>
      </c>
      <c r="G41" s="289">
        <v>1.3079537212460588</v>
      </c>
      <c r="H41" s="289">
        <v>0.8362322180353412</v>
      </c>
      <c r="I41" s="289">
        <v>1.0922367253968754</v>
      </c>
      <c r="J41" s="296">
        <v>1.0559572666072539</v>
      </c>
      <c r="K41" s="291">
        <v>47.229608</v>
      </c>
      <c r="L41" s="289"/>
      <c r="M41" s="66" t="s">
        <v>110</v>
      </c>
      <c r="N41" s="292">
        <v>0.4752603238423847</v>
      </c>
      <c r="O41" s="292">
        <v>1.5182754819765514</v>
      </c>
      <c r="P41" s="292">
        <v>1.2343911242340604</v>
      </c>
      <c r="Q41" s="292">
        <v>1.0928006294531623</v>
      </c>
      <c r="R41" s="292">
        <v>1.186131311356435</v>
      </c>
      <c r="S41" s="292">
        <v>1.0386858546566886</v>
      </c>
      <c r="T41" s="292">
        <v>0.9613445516121586</v>
      </c>
      <c r="U41" s="292">
        <v>1.0735805252492723</v>
      </c>
      <c r="V41" s="308">
        <v>1.0399170481652678</v>
      </c>
      <c r="W41" s="111">
        <v>217</v>
      </c>
      <c r="X41" s="294"/>
      <c r="Y41" s="294"/>
      <c r="Z41" s="294"/>
    </row>
    <row r="42" spans="1:26" ht="12.75">
      <c r="A42" s="64" t="s">
        <v>111</v>
      </c>
      <c r="B42" s="295">
        <v>0</v>
      </c>
      <c r="C42" s="289">
        <v>0.30600101136149943</v>
      </c>
      <c r="D42" s="289">
        <v>0.2928268664372441</v>
      </c>
      <c r="E42" s="289">
        <v>0.46807999829526664</v>
      </c>
      <c r="F42" s="289">
        <v>1.1576024452606264</v>
      </c>
      <c r="G42" s="289">
        <v>1.0396704293092904</v>
      </c>
      <c r="H42" s="289">
        <v>1.227455096189164</v>
      </c>
      <c r="I42" s="289">
        <v>0.9990347370328316</v>
      </c>
      <c r="J42" s="296">
        <v>0.9791292638298189</v>
      </c>
      <c r="K42" s="291">
        <v>21.645933</v>
      </c>
      <c r="L42" s="289"/>
      <c r="M42" s="66" t="s">
        <v>111</v>
      </c>
      <c r="N42" s="292">
        <v>0</v>
      </c>
      <c r="O42" s="292">
        <v>1.1657910280722479</v>
      </c>
      <c r="P42" s="292">
        <v>1.6266047472459548</v>
      </c>
      <c r="Q42" s="292">
        <v>1.2865518572295032</v>
      </c>
      <c r="R42" s="292">
        <v>0.8427096486041217</v>
      </c>
      <c r="S42" s="292">
        <v>0.8365733820419821</v>
      </c>
      <c r="T42" s="292">
        <v>0.9600630469228725</v>
      </c>
      <c r="U42" s="292">
        <v>0.702439572635764</v>
      </c>
      <c r="V42" s="308">
        <v>0.915686317068936</v>
      </c>
      <c r="W42" s="111">
        <v>81</v>
      </c>
      <c r="X42" s="294"/>
      <c r="Y42" s="297"/>
      <c r="Z42" s="294"/>
    </row>
    <row r="43" spans="1:24" ht="12.75">
      <c r="A43" s="64" t="s">
        <v>112</v>
      </c>
      <c r="B43" s="295">
        <v>0</v>
      </c>
      <c r="C43" s="289">
        <v>2.6718725075999306</v>
      </c>
      <c r="D43" s="289">
        <v>0.34445666658203994</v>
      </c>
      <c r="E43" s="289">
        <v>0.7238267447083182</v>
      </c>
      <c r="F43" s="289">
        <v>0.6021441539235997</v>
      </c>
      <c r="G43" s="289">
        <v>0.6028581924463501</v>
      </c>
      <c r="H43" s="289">
        <v>2.434302579975703</v>
      </c>
      <c r="I43" s="289"/>
      <c r="J43" s="296">
        <v>1.1075553963365254</v>
      </c>
      <c r="K43" s="291">
        <v>13.312423</v>
      </c>
      <c r="L43" s="289"/>
      <c r="M43" s="66" t="s">
        <v>112</v>
      </c>
      <c r="N43" s="292">
        <v>0</v>
      </c>
      <c r="O43" s="292">
        <v>1.6878491737978296</v>
      </c>
      <c r="P43" s="292">
        <v>1.3596377924920804</v>
      </c>
      <c r="Q43" s="292">
        <v>1.6937812820230524</v>
      </c>
      <c r="R43" s="292">
        <v>0.7548343365081664</v>
      </c>
      <c r="S43" s="292">
        <v>0.834687713516098</v>
      </c>
      <c r="T43" s="292">
        <v>2.1804544066983556</v>
      </c>
      <c r="U43" s="292"/>
      <c r="V43" s="308">
        <v>1.0313115866245333</v>
      </c>
      <c r="W43" s="111">
        <v>32</v>
      </c>
      <c r="X43" s="294"/>
    </row>
    <row r="44" spans="1:24" ht="13.5" thickBot="1">
      <c r="A44" s="65" t="s">
        <v>113</v>
      </c>
      <c r="B44" s="303">
        <v>0</v>
      </c>
      <c r="C44" s="304">
        <v>4.545795466167181</v>
      </c>
      <c r="D44" s="304">
        <v>0</v>
      </c>
      <c r="E44" s="304">
        <v>1.9244974016932794</v>
      </c>
      <c r="F44" s="304">
        <v>0.2020107906212753</v>
      </c>
      <c r="G44" s="304">
        <v>2.855203144566873</v>
      </c>
      <c r="H44" s="304"/>
      <c r="I44" s="304"/>
      <c r="J44" s="305">
        <v>1.4982988988754593</v>
      </c>
      <c r="K44" s="291">
        <v>2.247247</v>
      </c>
      <c r="L44" s="289"/>
      <c r="M44" s="66" t="s">
        <v>113</v>
      </c>
      <c r="N44" s="292">
        <v>0</v>
      </c>
      <c r="O44" s="292">
        <v>2.033843150016271</v>
      </c>
      <c r="P44" s="292">
        <v>0</v>
      </c>
      <c r="Q44" s="292">
        <v>0.9246203277779064</v>
      </c>
      <c r="R44" s="292">
        <v>0.4567315377694145</v>
      </c>
      <c r="S44" s="292">
        <v>2.8629915398599994</v>
      </c>
      <c r="T44" s="292"/>
      <c r="U44" s="292"/>
      <c r="V44" s="317">
        <v>0.9110911683377598</v>
      </c>
      <c r="W44" s="111">
        <v>6</v>
      </c>
      <c r="X44" s="297"/>
    </row>
    <row r="45" spans="1:22" ht="13.5" thickTop="1">
      <c r="A45" s="84" t="s">
        <v>84</v>
      </c>
      <c r="B45" s="82">
        <v>0.415490096579468</v>
      </c>
      <c r="C45" s="82">
        <v>0.7813830571554636</v>
      </c>
      <c r="D45" s="82">
        <v>0.8004451722590733</v>
      </c>
      <c r="E45" s="82">
        <v>0.7812192811509545</v>
      </c>
      <c r="F45" s="82">
        <v>1.0079424543242843</v>
      </c>
      <c r="G45" s="82">
        <v>1.0147280117897686</v>
      </c>
      <c r="H45" s="82">
        <v>0.9386706212962467</v>
      </c>
      <c r="I45" s="82">
        <v>0.9715634233211005</v>
      </c>
      <c r="J45" s="87">
        <v>0.9382040705409364</v>
      </c>
      <c r="K45" s="74"/>
      <c r="L45" s="74"/>
      <c r="M45" s="77" t="s">
        <v>84</v>
      </c>
      <c r="N45" s="81">
        <v>0.6809760656941609</v>
      </c>
      <c r="O45" s="81">
        <v>0.9462732775512084</v>
      </c>
      <c r="P45" s="81">
        <v>1.010593569057067</v>
      </c>
      <c r="Q45" s="81">
        <v>0.9673490492875302</v>
      </c>
      <c r="R45" s="81">
        <v>1.0802113988174566</v>
      </c>
      <c r="S45" s="81">
        <v>1.00912813970072</v>
      </c>
      <c r="T45" s="81">
        <v>0.9958216540157061</v>
      </c>
      <c r="U45" s="81">
        <v>0.9790218311363817</v>
      </c>
      <c r="V45" s="87">
        <v>1.0037480197952215</v>
      </c>
    </row>
    <row r="46" spans="10:22" ht="12.75">
      <c r="J46" s="85"/>
      <c r="V46" s="85"/>
    </row>
    <row r="47" ht="12.75">
      <c r="A47" s="114" t="s">
        <v>266</v>
      </c>
    </row>
  </sheetData>
  <sheetProtection/>
  <mergeCells count="24">
    <mergeCell ref="B29:I29"/>
    <mergeCell ref="N29:U29"/>
    <mergeCell ref="A29:A30"/>
    <mergeCell ref="J29:J30"/>
    <mergeCell ref="M29:M30"/>
    <mergeCell ref="V29:V30"/>
    <mergeCell ref="G27:O27"/>
    <mergeCell ref="B28:I28"/>
    <mergeCell ref="N28:U28"/>
    <mergeCell ref="A5:Y5"/>
    <mergeCell ref="N9:U9"/>
    <mergeCell ref="B9:I9"/>
    <mergeCell ref="G7:O7"/>
    <mergeCell ref="B8:I8"/>
    <mergeCell ref="A6:Y6"/>
    <mergeCell ref="N8:U8"/>
    <mergeCell ref="V9:V10"/>
    <mergeCell ref="J9:J10"/>
    <mergeCell ref="M9:M10"/>
    <mergeCell ref="A9:A10"/>
    <mergeCell ref="A1:Y1"/>
    <mergeCell ref="A2:Y2"/>
    <mergeCell ref="A3:Y3"/>
    <mergeCell ref="A4:Y4"/>
  </mergeCells>
  <printOptions/>
  <pageMargins left="0.75" right="0.75" top="1" bottom="1" header="0.5" footer="0.5"/>
  <pageSetup horizontalDpi="600" verticalDpi="600" orientation="landscape" scale="53" r:id="rId1"/>
  <headerFooter alignWithMargins="0">
    <oddFooter>&amp;L"&amp;F"&amp;R&amp;"Arial,Italic"&amp;A</oddFooter>
  </headerFooter>
</worksheet>
</file>

<file path=xl/worksheets/sheet29.xml><?xml version="1.0" encoding="utf-8"?>
<worksheet xmlns="http://schemas.openxmlformats.org/spreadsheetml/2006/main" xmlns:r="http://schemas.openxmlformats.org/officeDocument/2006/relationships">
  <dimension ref="A1:H67"/>
  <sheetViews>
    <sheetView zoomScalePageLayoutView="0" workbookViewId="0" topLeftCell="F1">
      <selection activeCell="H18" sqref="H18"/>
    </sheetView>
  </sheetViews>
  <sheetFormatPr defaultColWidth="9.140625" defaultRowHeight="12.75"/>
  <cols>
    <col min="2" max="2" width="16.7109375" style="0" customWidth="1"/>
    <col min="3" max="3" width="12.57421875" style="0" customWidth="1"/>
    <col min="6" max="6" width="19.57421875" style="0" customWidth="1"/>
    <col min="7" max="7" width="12.421875" style="0" bestFit="1" customWidth="1"/>
    <col min="8" max="8" width="9.140625" style="22" customWidth="1"/>
    <col min="10" max="10" width="12.00390625" style="0" bestFit="1" customWidth="1"/>
    <col min="11" max="11" width="9.140625" style="17" customWidth="1"/>
  </cols>
  <sheetData>
    <row r="1" spans="1:6" ht="12.75">
      <c r="A1" s="19" t="s">
        <v>74</v>
      </c>
      <c r="B1" s="19" t="s">
        <v>75</v>
      </c>
      <c r="C1" s="19" t="s">
        <v>76</v>
      </c>
      <c r="D1" s="19" t="s">
        <v>77</v>
      </c>
      <c r="E1" s="19" t="s">
        <v>78</v>
      </c>
      <c r="F1" s="19" t="s">
        <v>79</v>
      </c>
    </row>
    <row r="2" spans="1:8" ht="25.5">
      <c r="A2" s="20" t="s">
        <v>49</v>
      </c>
      <c r="B2" s="20" t="s">
        <v>30</v>
      </c>
      <c r="C2" s="20" t="s">
        <v>29</v>
      </c>
      <c r="D2" s="20" t="s">
        <v>72</v>
      </c>
      <c r="E2" s="21">
        <v>999</v>
      </c>
      <c r="F2" s="21">
        <v>389569324184.581</v>
      </c>
      <c r="H2" s="22">
        <f>F2/G5</f>
        <v>0.7150359113033212</v>
      </c>
    </row>
    <row r="3" spans="1:8" ht="25.5">
      <c r="A3" s="20" t="s">
        <v>49</v>
      </c>
      <c r="B3" s="20" t="s">
        <v>30</v>
      </c>
      <c r="C3" s="20" t="s">
        <v>29</v>
      </c>
      <c r="D3" s="20" t="s">
        <v>21</v>
      </c>
      <c r="E3" s="21">
        <v>515</v>
      </c>
      <c r="F3" s="21">
        <v>49013867250.69295</v>
      </c>
      <c r="H3" s="22">
        <f>F3/G6</f>
        <v>0.6160444448730572</v>
      </c>
    </row>
    <row r="4" spans="1:8" ht="25.5">
      <c r="A4" s="20" t="s">
        <v>49</v>
      </c>
      <c r="B4" s="20" t="s">
        <v>30</v>
      </c>
      <c r="C4" s="20" t="s">
        <v>29</v>
      </c>
      <c r="D4" s="20" t="s">
        <v>73</v>
      </c>
      <c r="E4" s="21">
        <v>548</v>
      </c>
      <c r="F4" s="21">
        <v>18460867452.67236</v>
      </c>
      <c r="H4" s="22">
        <f>F4/G7</f>
        <v>0.5398462382367848</v>
      </c>
    </row>
    <row r="5" spans="1:8" ht="25.5">
      <c r="A5" s="20" t="s">
        <v>49</v>
      </c>
      <c r="B5" s="20" t="s">
        <v>30</v>
      </c>
      <c r="C5" s="20" t="s">
        <v>30</v>
      </c>
      <c r="D5" s="20" t="s">
        <v>72</v>
      </c>
      <c r="E5" s="21">
        <v>704</v>
      </c>
      <c r="F5" s="21">
        <v>155255513318.33444</v>
      </c>
      <c r="G5">
        <f>F2+F5</f>
        <v>544824837502.9154</v>
      </c>
      <c r="H5" s="22">
        <f>F5/G5</f>
        <v>0.2849640886966789</v>
      </c>
    </row>
    <row r="6" spans="1:8" ht="25.5">
      <c r="A6" s="20" t="s">
        <v>49</v>
      </c>
      <c r="B6" s="20" t="s">
        <v>30</v>
      </c>
      <c r="C6" s="20" t="s">
        <v>30</v>
      </c>
      <c r="D6" s="20" t="s">
        <v>21</v>
      </c>
      <c r="E6" s="21">
        <v>461</v>
      </c>
      <c r="F6" s="21">
        <v>30548358589.67284</v>
      </c>
      <c r="G6">
        <f>F3+F6</f>
        <v>79562225840.36578</v>
      </c>
      <c r="H6" s="22">
        <f>F6/G6</f>
        <v>0.38395555512694285</v>
      </c>
    </row>
    <row r="7" spans="1:8" ht="25.5">
      <c r="A7" s="20" t="s">
        <v>49</v>
      </c>
      <c r="B7" s="20" t="s">
        <v>30</v>
      </c>
      <c r="C7" s="20" t="s">
        <v>30</v>
      </c>
      <c r="D7" s="20" t="s">
        <v>73</v>
      </c>
      <c r="E7" s="21">
        <v>742</v>
      </c>
      <c r="F7" s="21">
        <v>15735661382.96091</v>
      </c>
      <c r="G7">
        <f>F4+F7</f>
        <v>34196528835.63327</v>
      </c>
      <c r="H7" s="22">
        <f>F7/G7</f>
        <v>0.4601537617632152</v>
      </c>
    </row>
    <row r="8" spans="1:8" ht="25.5">
      <c r="A8" s="20" t="s">
        <v>49</v>
      </c>
      <c r="B8" s="20" t="s">
        <v>31</v>
      </c>
      <c r="C8" s="20" t="s">
        <v>29</v>
      </c>
      <c r="D8" s="20" t="s">
        <v>72</v>
      </c>
      <c r="E8" s="21">
        <v>191</v>
      </c>
      <c r="F8" s="21">
        <v>254052647732.1879</v>
      </c>
      <c r="H8" s="22">
        <f>F8/G14</f>
        <v>0.40300748694347593</v>
      </c>
    </row>
    <row r="9" spans="1:8" ht="25.5">
      <c r="A9" s="20" t="s">
        <v>49</v>
      </c>
      <c r="B9" s="20" t="s">
        <v>31</v>
      </c>
      <c r="C9" s="20" t="s">
        <v>29</v>
      </c>
      <c r="D9" s="20" t="s">
        <v>21</v>
      </c>
      <c r="E9" s="21">
        <v>107</v>
      </c>
      <c r="F9" s="21">
        <v>28970310439.707367</v>
      </c>
      <c r="H9" s="22">
        <f>F9/G15</f>
        <v>0.28492241075988617</v>
      </c>
    </row>
    <row r="10" spans="1:8" ht="25.5">
      <c r="A10" s="20" t="s">
        <v>49</v>
      </c>
      <c r="B10" s="20" t="s">
        <v>31</v>
      </c>
      <c r="C10" s="20" t="s">
        <v>29</v>
      </c>
      <c r="D10" s="20" t="s">
        <v>73</v>
      </c>
      <c r="E10" s="21">
        <v>74</v>
      </c>
      <c r="F10" s="21">
        <v>5404204795.01761</v>
      </c>
      <c r="H10" s="22">
        <f>F10/G16</f>
        <v>0.2123711416029318</v>
      </c>
    </row>
    <row r="11" spans="1:8" ht="25.5">
      <c r="A11" s="20" t="s">
        <v>49</v>
      </c>
      <c r="B11" s="20" t="s">
        <v>31</v>
      </c>
      <c r="C11" s="20" t="s">
        <v>30</v>
      </c>
      <c r="D11" s="20" t="s">
        <v>72</v>
      </c>
      <c r="E11" s="21">
        <v>239</v>
      </c>
      <c r="F11" s="21">
        <v>209243889641.81732</v>
      </c>
      <c r="H11" s="22">
        <f>F11/G14</f>
        <v>0.33192668872209824</v>
      </c>
    </row>
    <row r="12" spans="1:8" ht="25.5">
      <c r="A12" s="20" t="s">
        <v>49</v>
      </c>
      <c r="B12" s="20" t="s">
        <v>31</v>
      </c>
      <c r="C12" s="20" t="s">
        <v>30</v>
      </c>
      <c r="D12" s="20" t="s">
        <v>21</v>
      </c>
      <c r="E12" s="21">
        <v>177</v>
      </c>
      <c r="F12" s="21">
        <v>36553591137.50719</v>
      </c>
      <c r="H12" s="22">
        <f>F12/G15</f>
        <v>0.3595038213520421</v>
      </c>
    </row>
    <row r="13" spans="1:8" ht="25.5">
      <c r="A13" s="20" t="s">
        <v>49</v>
      </c>
      <c r="B13" s="20" t="s">
        <v>31</v>
      </c>
      <c r="C13" s="20" t="s">
        <v>30</v>
      </c>
      <c r="D13" s="20" t="s">
        <v>73</v>
      </c>
      <c r="E13" s="21">
        <v>143</v>
      </c>
      <c r="F13" s="21">
        <v>9388948492.84484</v>
      </c>
      <c r="H13" s="22">
        <f>F13/G16</f>
        <v>0.3689611673700621</v>
      </c>
    </row>
    <row r="14" spans="1:8" ht="25.5">
      <c r="A14" s="20" t="s">
        <v>49</v>
      </c>
      <c r="B14" s="20" t="s">
        <v>31</v>
      </c>
      <c r="C14" s="20" t="s">
        <v>31</v>
      </c>
      <c r="D14" s="20" t="s">
        <v>72</v>
      </c>
      <c r="E14" s="21">
        <v>295</v>
      </c>
      <c r="F14" s="21">
        <v>167095343578.37073</v>
      </c>
      <c r="G14">
        <f>F8+F11+F14</f>
        <v>630391880952.376</v>
      </c>
      <c r="H14" s="22">
        <f>F14/G14</f>
        <v>0.26506582433442577</v>
      </c>
    </row>
    <row r="15" spans="1:8" ht="25.5">
      <c r="A15" s="20" t="s">
        <v>49</v>
      </c>
      <c r="B15" s="20" t="s">
        <v>31</v>
      </c>
      <c r="C15" s="20" t="s">
        <v>31</v>
      </c>
      <c r="D15" s="20" t="s">
        <v>21</v>
      </c>
      <c r="E15" s="21">
        <v>234</v>
      </c>
      <c r="F15" s="21">
        <v>36153991581.2904</v>
      </c>
      <c r="G15">
        <f>F9+F12+F15</f>
        <v>101677893158.50494</v>
      </c>
      <c r="H15" s="22">
        <f>F15/G15</f>
        <v>0.35557376788807177</v>
      </c>
    </row>
    <row r="16" spans="1:8" ht="25.5">
      <c r="A16" s="20" t="s">
        <v>49</v>
      </c>
      <c r="B16" s="20" t="s">
        <v>31</v>
      </c>
      <c r="C16" s="20" t="s">
        <v>31</v>
      </c>
      <c r="D16" s="20" t="s">
        <v>73</v>
      </c>
      <c r="E16" s="21">
        <v>246</v>
      </c>
      <c r="F16" s="21">
        <v>10653829547.13025</v>
      </c>
      <c r="G16">
        <f>F10+F13+F16</f>
        <v>25446982834.9927</v>
      </c>
      <c r="H16" s="22">
        <f>F16/G16</f>
        <v>0.41866769102700613</v>
      </c>
    </row>
    <row r="17" spans="1:8" ht="25.5">
      <c r="A17" s="20" t="s">
        <v>49</v>
      </c>
      <c r="B17" s="20" t="s">
        <v>63</v>
      </c>
      <c r="C17" s="20" t="s">
        <v>29</v>
      </c>
      <c r="D17" s="20" t="s">
        <v>72</v>
      </c>
      <c r="E17" s="21">
        <v>92</v>
      </c>
      <c r="F17" s="21">
        <v>140577697079.95395</v>
      </c>
      <c r="H17" s="22">
        <f>F17/G26</f>
        <v>0.4130967144840201</v>
      </c>
    </row>
    <row r="18" spans="1:8" ht="25.5">
      <c r="A18" s="20" t="s">
        <v>49</v>
      </c>
      <c r="B18" s="20" t="s">
        <v>63</v>
      </c>
      <c r="C18" s="20" t="s">
        <v>29</v>
      </c>
      <c r="D18" s="20" t="s">
        <v>21</v>
      </c>
      <c r="E18" s="21">
        <v>66</v>
      </c>
      <c r="F18" s="21">
        <v>29370757939.85202</v>
      </c>
      <c r="H18" s="22">
        <f>F18/G27</f>
        <v>0.31193051539789357</v>
      </c>
    </row>
    <row r="19" spans="1:8" ht="25.5">
      <c r="A19" s="20" t="s">
        <v>49</v>
      </c>
      <c r="B19" s="20" t="s">
        <v>63</v>
      </c>
      <c r="C19" s="20" t="s">
        <v>29</v>
      </c>
      <c r="D19" s="20" t="s">
        <v>73</v>
      </c>
      <c r="E19" s="21">
        <v>41</v>
      </c>
      <c r="F19" s="21">
        <v>5745224790.62022</v>
      </c>
      <c r="H19" s="22">
        <f>F19/G28</f>
        <v>0.26270311795747137</v>
      </c>
    </row>
    <row r="20" spans="1:8" ht="25.5">
      <c r="A20" s="20" t="s">
        <v>49</v>
      </c>
      <c r="B20" s="20" t="s">
        <v>63</v>
      </c>
      <c r="C20" s="20" t="s">
        <v>30</v>
      </c>
      <c r="D20" s="20" t="s">
        <v>72</v>
      </c>
      <c r="E20" s="21">
        <v>110</v>
      </c>
      <c r="F20" s="21">
        <v>95265726395.63069</v>
      </c>
      <c r="H20" s="22">
        <f>F20/G26</f>
        <v>0.27994453881675097</v>
      </c>
    </row>
    <row r="21" spans="1:8" ht="25.5">
      <c r="A21" s="20" t="s">
        <v>49</v>
      </c>
      <c r="B21" s="20" t="s">
        <v>63</v>
      </c>
      <c r="C21" s="20" t="s">
        <v>30</v>
      </c>
      <c r="D21" s="20" t="s">
        <v>21</v>
      </c>
      <c r="E21" s="21">
        <v>138</v>
      </c>
      <c r="F21" s="21">
        <v>33047945376.07968</v>
      </c>
      <c r="H21" s="22">
        <f>F21/G27</f>
        <v>0.3509838818294353</v>
      </c>
    </row>
    <row r="22" spans="1:8" ht="25.5">
      <c r="A22" s="20" t="s">
        <v>49</v>
      </c>
      <c r="B22" s="20" t="s">
        <v>63</v>
      </c>
      <c r="C22" s="20" t="s">
        <v>30</v>
      </c>
      <c r="D22" s="20" t="s">
        <v>73</v>
      </c>
      <c r="E22" s="21">
        <v>117</v>
      </c>
      <c r="F22" s="21">
        <v>8257973824.64194</v>
      </c>
      <c r="H22" s="22">
        <f>F22/G28</f>
        <v>0.3775997547191583</v>
      </c>
    </row>
    <row r="23" spans="1:8" ht="25.5">
      <c r="A23" s="20" t="s">
        <v>49</v>
      </c>
      <c r="B23" s="20" t="s">
        <v>63</v>
      </c>
      <c r="C23" s="20" t="s">
        <v>31</v>
      </c>
      <c r="D23" s="20" t="s">
        <v>72</v>
      </c>
      <c r="E23" s="21">
        <v>90</v>
      </c>
      <c r="F23" s="21">
        <v>67367623786.97782</v>
      </c>
      <c r="H23" s="22">
        <f>F23/G26</f>
        <v>0.19796414813345561</v>
      </c>
    </row>
    <row r="24" spans="1:8" ht="25.5">
      <c r="A24" s="20" t="s">
        <v>49</v>
      </c>
      <c r="B24" s="20" t="s">
        <v>63</v>
      </c>
      <c r="C24" s="20" t="s">
        <v>31</v>
      </c>
      <c r="D24" s="20" t="s">
        <v>21</v>
      </c>
      <c r="E24" s="21">
        <v>103</v>
      </c>
      <c r="F24" s="21">
        <v>20002606845.79109</v>
      </c>
      <c r="H24" s="22">
        <f>F24/G27</f>
        <v>0.21243658319906758</v>
      </c>
    </row>
    <row r="25" spans="1:8" ht="25.5">
      <c r="A25" s="20" t="s">
        <v>49</v>
      </c>
      <c r="B25" s="20" t="s">
        <v>63</v>
      </c>
      <c r="C25" s="20" t="s">
        <v>31</v>
      </c>
      <c r="D25" s="20" t="s">
        <v>73</v>
      </c>
      <c r="E25" s="21">
        <v>84</v>
      </c>
      <c r="F25" s="21">
        <v>4744491437.91944</v>
      </c>
      <c r="H25" s="22">
        <f>F25/G28</f>
        <v>0.21694411259570762</v>
      </c>
    </row>
    <row r="26" spans="1:8" ht="25.5">
      <c r="A26" s="20" t="s">
        <v>49</v>
      </c>
      <c r="B26" s="20" t="s">
        <v>63</v>
      </c>
      <c r="C26" s="20" t="s">
        <v>63</v>
      </c>
      <c r="D26" s="20" t="s">
        <v>72</v>
      </c>
      <c r="E26" s="21">
        <v>90</v>
      </c>
      <c r="F26" s="21">
        <v>37091095434.31907</v>
      </c>
      <c r="G26">
        <f>F17+F20+F23+F26</f>
        <v>340302142696.8816</v>
      </c>
      <c r="H26" s="22">
        <f>F26/G26</f>
        <v>0.10899459856577318</v>
      </c>
    </row>
    <row r="27" spans="1:8" ht="25.5">
      <c r="A27" s="20" t="s">
        <v>49</v>
      </c>
      <c r="B27" s="20" t="s">
        <v>63</v>
      </c>
      <c r="C27" s="20" t="s">
        <v>63</v>
      </c>
      <c r="D27" s="20" t="s">
        <v>21</v>
      </c>
      <c r="E27" s="21">
        <v>60</v>
      </c>
      <c r="F27" s="21">
        <v>11736704171.65255</v>
      </c>
      <c r="G27">
        <f>F18+F21+F24+F27</f>
        <v>94158014333.37534</v>
      </c>
      <c r="H27" s="22">
        <f>F27/G27</f>
        <v>0.1246490195736036</v>
      </c>
    </row>
    <row r="28" spans="1:8" ht="25.5">
      <c r="A28" s="20" t="s">
        <v>49</v>
      </c>
      <c r="B28" s="20" t="s">
        <v>63</v>
      </c>
      <c r="C28" s="20" t="s">
        <v>63</v>
      </c>
      <c r="D28" s="20" t="s">
        <v>73</v>
      </c>
      <c r="E28" s="21">
        <v>76</v>
      </c>
      <c r="F28" s="21">
        <v>3121958222.36839</v>
      </c>
      <c r="G28">
        <f>F19+F22+F25+F28</f>
        <v>21869648275.54999</v>
      </c>
      <c r="H28" s="22">
        <f>F28/G28</f>
        <v>0.14275301472766266</v>
      </c>
    </row>
    <row r="29" spans="1:6" ht="25.5">
      <c r="A29" s="20" t="s">
        <v>49</v>
      </c>
      <c r="B29" s="20" t="s">
        <v>64</v>
      </c>
      <c r="C29" s="20" t="s">
        <v>29</v>
      </c>
      <c r="D29" s="20" t="s">
        <v>72</v>
      </c>
      <c r="E29" s="21">
        <v>7</v>
      </c>
      <c r="F29" s="21">
        <v>5102296026.204</v>
      </c>
    </row>
    <row r="30" spans="1:6" ht="25.5">
      <c r="A30" s="20" t="s">
        <v>49</v>
      </c>
      <c r="B30" s="20" t="s">
        <v>64</v>
      </c>
      <c r="C30" s="20" t="s">
        <v>29</v>
      </c>
      <c r="D30" s="20" t="s">
        <v>21</v>
      </c>
      <c r="E30" s="21">
        <v>9</v>
      </c>
      <c r="F30" s="21">
        <v>1084181300.05737</v>
      </c>
    </row>
    <row r="31" spans="1:6" ht="25.5">
      <c r="A31" s="20" t="s">
        <v>49</v>
      </c>
      <c r="B31" s="20" t="s">
        <v>64</v>
      </c>
      <c r="C31" s="20" t="s">
        <v>29</v>
      </c>
      <c r="D31" s="20" t="s">
        <v>73</v>
      </c>
      <c r="E31" s="21">
        <v>8</v>
      </c>
      <c r="F31" s="21">
        <v>192901669.81407</v>
      </c>
    </row>
    <row r="32" spans="1:6" ht="25.5">
      <c r="A32" s="20" t="s">
        <v>49</v>
      </c>
      <c r="B32" s="20" t="s">
        <v>64</v>
      </c>
      <c r="C32" s="20" t="s">
        <v>30</v>
      </c>
      <c r="D32" s="20" t="s">
        <v>72</v>
      </c>
      <c r="E32" s="21">
        <v>0</v>
      </c>
      <c r="F32" s="21">
        <v>1442111862.31839</v>
      </c>
    </row>
    <row r="33" spans="1:6" ht="25.5">
      <c r="A33" s="20" t="s">
        <v>49</v>
      </c>
      <c r="B33" s="20" t="s">
        <v>64</v>
      </c>
      <c r="C33" s="20" t="s">
        <v>30</v>
      </c>
      <c r="D33" s="20" t="s">
        <v>21</v>
      </c>
      <c r="E33" s="21">
        <v>10</v>
      </c>
      <c r="F33" s="21">
        <v>585702724.38739</v>
      </c>
    </row>
    <row r="34" spans="1:6" ht="25.5">
      <c r="A34" s="20" t="s">
        <v>49</v>
      </c>
      <c r="B34" s="20" t="s">
        <v>64</v>
      </c>
      <c r="C34" s="20" t="s">
        <v>30</v>
      </c>
      <c r="D34" s="20" t="s">
        <v>73</v>
      </c>
      <c r="E34" s="21">
        <v>4</v>
      </c>
      <c r="F34" s="21">
        <v>120106071.64346</v>
      </c>
    </row>
    <row r="35" spans="1:6" ht="25.5">
      <c r="A35" s="20" t="s">
        <v>49</v>
      </c>
      <c r="B35" s="20" t="s">
        <v>64</v>
      </c>
      <c r="C35" s="20" t="s">
        <v>31</v>
      </c>
      <c r="D35" s="20" t="s">
        <v>72</v>
      </c>
      <c r="E35" s="21">
        <v>2</v>
      </c>
      <c r="F35" s="21">
        <v>1036737675.0505</v>
      </c>
    </row>
    <row r="36" spans="1:6" ht="25.5">
      <c r="A36" s="20" t="s">
        <v>49</v>
      </c>
      <c r="B36" s="20" t="s">
        <v>64</v>
      </c>
      <c r="C36" s="20" t="s">
        <v>31</v>
      </c>
      <c r="D36" s="20" t="s">
        <v>21</v>
      </c>
      <c r="E36" s="21">
        <v>6</v>
      </c>
      <c r="F36" s="21">
        <v>310391528.0822</v>
      </c>
    </row>
    <row r="37" spans="1:6" ht="25.5">
      <c r="A37" s="20" t="s">
        <v>49</v>
      </c>
      <c r="B37" s="20" t="s">
        <v>64</v>
      </c>
      <c r="C37" s="20" t="s">
        <v>31</v>
      </c>
      <c r="D37" s="20" t="s">
        <v>73</v>
      </c>
      <c r="E37" s="21">
        <v>2</v>
      </c>
      <c r="F37" s="21">
        <v>49475861.11236</v>
      </c>
    </row>
    <row r="38" spans="1:6" ht="25.5">
      <c r="A38" s="20" t="s">
        <v>49</v>
      </c>
      <c r="B38" s="20" t="s">
        <v>64</v>
      </c>
      <c r="C38" s="20" t="s">
        <v>63</v>
      </c>
      <c r="D38" s="20" t="s">
        <v>72</v>
      </c>
      <c r="E38" s="21">
        <v>3</v>
      </c>
      <c r="F38" s="21">
        <v>391559011.6775</v>
      </c>
    </row>
    <row r="39" spans="1:6" ht="25.5">
      <c r="A39" s="20" t="s">
        <v>49</v>
      </c>
      <c r="B39" s="20" t="s">
        <v>64</v>
      </c>
      <c r="C39" s="20" t="s">
        <v>63</v>
      </c>
      <c r="D39" s="20" t="s">
        <v>21</v>
      </c>
      <c r="E39" s="21">
        <v>2</v>
      </c>
      <c r="F39" s="21">
        <v>148479535.94581</v>
      </c>
    </row>
    <row r="40" spans="1:6" ht="25.5">
      <c r="A40" s="20" t="s">
        <v>49</v>
      </c>
      <c r="B40" s="20" t="s">
        <v>64</v>
      </c>
      <c r="C40" s="20" t="s">
        <v>63</v>
      </c>
      <c r="D40" s="20" t="s">
        <v>73</v>
      </c>
      <c r="E40" s="21">
        <v>3</v>
      </c>
      <c r="F40" s="21">
        <v>22310627.0411</v>
      </c>
    </row>
    <row r="41" spans="1:6" ht="25.5">
      <c r="A41" s="20" t="s">
        <v>49</v>
      </c>
      <c r="B41" s="20" t="s">
        <v>64</v>
      </c>
      <c r="C41" s="20" t="s">
        <v>64</v>
      </c>
      <c r="D41" s="20" t="s">
        <v>72</v>
      </c>
      <c r="E41" s="21">
        <v>0</v>
      </c>
      <c r="F41" s="21">
        <v>456511949.09641</v>
      </c>
    </row>
    <row r="42" spans="1:6" ht="25.5">
      <c r="A42" s="20" t="s">
        <v>49</v>
      </c>
      <c r="B42" s="20" t="s">
        <v>64</v>
      </c>
      <c r="C42" s="20" t="s">
        <v>64</v>
      </c>
      <c r="D42" s="20" t="s">
        <v>21</v>
      </c>
      <c r="E42" s="21">
        <v>2</v>
      </c>
      <c r="F42" s="21">
        <v>181838374.98948</v>
      </c>
    </row>
    <row r="43" spans="1:6" ht="25.5">
      <c r="A43" s="20" t="s">
        <v>49</v>
      </c>
      <c r="B43" s="20" t="s">
        <v>64</v>
      </c>
      <c r="C43" s="20" t="s">
        <v>64</v>
      </c>
      <c r="D43" s="20" t="s">
        <v>73</v>
      </c>
      <c r="E43" s="21">
        <v>5</v>
      </c>
      <c r="F43" s="21">
        <v>33979929.92193</v>
      </c>
    </row>
    <row r="44" spans="1:6" ht="25.5">
      <c r="A44" s="20" t="s">
        <v>49</v>
      </c>
      <c r="B44" s="20" t="s">
        <v>65</v>
      </c>
      <c r="C44" s="20" t="s">
        <v>29</v>
      </c>
      <c r="D44" s="20" t="s">
        <v>72</v>
      </c>
      <c r="E44" s="21">
        <v>4</v>
      </c>
      <c r="F44" s="21">
        <v>4223558846.81962</v>
      </c>
    </row>
    <row r="45" spans="1:6" ht="25.5">
      <c r="A45" s="20" t="s">
        <v>49</v>
      </c>
      <c r="B45" s="20" t="s">
        <v>65</v>
      </c>
      <c r="C45" s="20" t="s">
        <v>29</v>
      </c>
      <c r="D45" s="20" t="s">
        <v>21</v>
      </c>
      <c r="E45" s="21">
        <v>0</v>
      </c>
      <c r="F45" s="21">
        <v>663034079.00446</v>
      </c>
    </row>
    <row r="46" spans="1:6" ht="25.5">
      <c r="A46" s="20" t="s">
        <v>49</v>
      </c>
      <c r="B46" s="20" t="s">
        <v>65</v>
      </c>
      <c r="C46" s="20" t="s">
        <v>29</v>
      </c>
      <c r="D46" s="20" t="s">
        <v>73</v>
      </c>
      <c r="E46" s="21">
        <v>3</v>
      </c>
      <c r="F46" s="21">
        <v>347459888.18287</v>
      </c>
    </row>
    <row r="47" spans="1:6" ht="25.5">
      <c r="A47" s="20" t="s">
        <v>49</v>
      </c>
      <c r="B47" s="20" t="s">
        <v>65</v>
      </c>
      <c r="C47" s="20" t="s">
        <v>30</v>
      </c>
      <c r="D47" s="20" t="s">
        <v>72</v>
      </c>
      <c r="E47" s="21">
        <v>1</v>
      </c>
      <c r="F47" s="21">
        <v>807641751.11474</v>
      </c>
    </row>
    <row r="48" spans="1:6" ht="25.5">
      <c r="A48" s="20" t="s">
        <v>49</v>
      </c>
      <c r="B48" s="20" t="s">
        <v>65</v>
      </c>
      <c r="C48" s="20" t="s">
        <v>30</v>
      </c>
      <c r="D48" s="20" t="s">
        <v>21</v>
      </c>
      <c r="E48" s="21">
        <v>1</v>
      </c>
      <c r="F48" s="21">
        <v>197050243.36621</v>
      </c>
    </row>
    <row r="49" spans="1:6" ht="25.5">
      <c r="A49" s="20" t="s">
        <v>49</v>
      </c>
      <c r="B49" s="20" t="s">
        <v>65</v>
      </c>
      <c r="C49" s="20" t="s">
        <v>30</v>
      </c>
      <c r="D49" s="20" t="s">
        <v>73</v>
      </c>
      <c r="E49" s="21">
        <v>1</v>
      </c>
      <c r="F49" s="21">
        <v>90669761.48361</v>
      </c>
    </row>
    <row r="50" spans="1:6" ht="25.5">
      <c r="A50" s="20" t="s">
        <v>49</v>
      </c>
      <c r="B50" s="20" t="s">
        <v>65</v>
      </c>
      <c r="C50" s="20" t="s">
        <v>31</v>
      </c>
      <c r="D50" s="20" t="s">
        <v>72</v>
      </c>
      <c r="E50" s="21">
        <v>6</v>
      </c>
      <c r="F50" s="21">
        <v>2180298198.61124</v>
      </c>
    </row>
    <row r="51" spans="1:6" ht="25.5">
      <c r="A51" s="20" t="s">
        <v>49</v>
      </c>
      <c r="B51" s="20" t="s">
        <v>65</v>
      </c>
      <c r="C51" s="20" t="s">
        <v>31</v>
      </c>
      <c r="D51" s="20" t="s">
        <v>21</v>
      </c>
      <c r="E51" s="21">
        <v>2</v>
      </c>
      <c r="F51" s="21">
        <v>627591340.31127</v>
      </c>
    </row>
    <row r="52" spans="1:6" ht="25.5">
      <c r="A52" s="20" t="s">
        <v>49</v>
      </c>
      <c r="B52" s="20" t="s">
        <v>65</v>
      </c>
      <c r="C52" s="20" t="s">
        <v>31</v>
      </c>
      <c r="D52" s="20" t="s">
        <v>73</v>
      </c>
      <c r="E52" s="21">
        <v>6</v>
      </c>
      <c r="F52" s="21">
        <v>317901846.99861</v>
      </c>
    </row>
    <row r="53" spans="1:6" ht="25.5">
      <c r="A53" s="20" t="s">
        <v>49</v>
      </c>
      <c r="B53" s="20" t="s">
        <v>65</v>
      </c>
      <c r="C53" s="20" t="s">
        <v>63</v>
      </c>
      <c r="D53" s="20" t="s">
        <v>72</v>
      </c>
      <c r="E53" s="21">
        <v>0</v>
      </c>
      <c r="F53" s="21">
        <v>270109664.42902</v>
      </c>
    </row>
    <row r="54" spans="1:6" ht="25.5">
      <c r="A54" s="20" t="s">
        <v>49</v>
      </c>
      <c r="B54" s="20" t="s">
        <v>65</v>
      </c>
      <c r="C54" s="20" t="s">
        <v>63</v>
      </c>
      <c r="D54" s="20" t="s">
        <v>21</v>
      </c>
      <c r="E54" s="21">
        <v>1</v>
      </c>
      <c r="F54" s="21">
        <v>75864876.66394</v>
      </c>
    </row>
    <row r="55" spans="1:6" ht="25.5">
      <c r="A55" s="20" t="s">
        <v>49</v>
      </c>
      <c r="B55" s="20" t="s">
        <v>65</v>
      </c>
      <c r="C55" s="20" t="s">
        <v>63</v>
      </c>
      <c r="D55" s="20" t="s">
        <v>73</v>
      </c>
      <c r="E55" s="21">
        <v>1</v>
      </c>
      <c r="F55" s="21">
        <v>37577009.14756</v>
      </c>
    </row>
    <row r="56" spans="1:6" ht="25.5">
      <c r="A56" s="20" t="s">
        <v>49</v>
      </c>
      <c r="B56" s="20" t="s">
        <v>65</v>
      </c>
      <c r="C56" s="20" t="s">
        <v>64</v>
      </c>
      <c r="D56" s="20" t="s">
        <v>72</v>
      </c>
      <c r="E56" s="21">
        <v>6</v>
      </c>
      <c r="F56" s="21">
        <v>1242043924.24456</v>
      </c>
    </row>
    <row r="57" spans="1:6" ht="25.5">
      <c r="A57" s="20" t="s">
        <v>49</v>
      </c>
      <c r="B57" s="20" t="s">
        <v>65</v>
      </c>
      <c r="C57" s="20" t="s">
        <v>64</v>
      </c>
      <c r="D57" s="20" t="s">
        <v>21</v>
      </c>
      <c r="E57" s="21">
        <v>4</v>
      </c>
      <c r="F57" s="21">
        <v>353828478.24521</v>
      </c>
    </row>
    <row r="58" spans="1:6" ht="25.5">
      <c r="A58" s="20" t="s">
        <v>49</v>
      </c>
      <c r="B58" s="20" t="s">
        <v>65</v>
      </c>
      <c r="C58" s="20" t="s">
        <v>64</v>
      </c>
      <c r="D58" s="20" t="s">
        <v>73</v>
      </c>
      <c r="E58" s="21">
        <v>9</v>
      </c>
      <c r="F58" s="21">
        <v>169445588.69934</v>
      </c>
    </row>
    <row r="59" spans="1:6" ht="25.5">
      <c r="A59" s="20" t="s">
        <v>49</v>
      </c>
      <c r="B59" s="20" t="s">
        <v>65</v>
      </c>
      <c r="C59" s="20" t="s">
        <v>65</v>
      </c>
      <c r="D59" s="20" t="s">
        <v>72</v>
      </c>
      <c r="E59" s="21">
        <v>0</v>
      </c>
      <c r="F59" s="21">
        <v>105276021.36059</v>
      </c>
    </row>
    <row r="60" spans="1:6" ht="25.5">
      <c r="A60" s="20" t="s">
        <v>49</v>
      </c>
      <c r="B60" s="20" t="s">
        <v>65</v>
      </c>
      <c r="C60" s="20" t="s">
        <v>65</v>
      </c>
      <c r="D60" s="20" t="s">
        <v>21</v>
      </c>
      <c r="E60" s="21">
        <v>0</v>
      </c>
      <c r="F60" s="21">
        <v>25292922.40433</v>
      </c>
    </row>
    <row r="61" spans="1:6" ht="25.5">
      <c r="A61" s="20" t="s">
        <v>49</v>
      </c>
      <c r="B61" s="20" t="s">
        <v>65</v>
      </c>
      <c r="C61" s="20" t="s">
        <v>65</v>
      </c>
      <c r="D61" s="20" t="s">
        <v>73</v>
      </c>
      <c r="E61" s="21">
        <v>1</v>
      </c>
      <c r="F61" s="21">
        <v>6530023.03819</v>
      </c>
    </row>
    <row r="62" spans="1:6" ht="12.75">
      <c r="A62" s="20" t="s">
        <v>50</v>
      </c>
      <c r="B62" s="20" t="s">
        <v>30</v>
      </c>
      <c r="C62" s="20" t="s">
        <v>29</v>
      </c>
      <c r="D62" s="20" t="s">
        <v>72</v>
      </c>
      <c r="E62" s="21">
        <v>333</v>
      </c>
      <c r="F62" s="21">
        <v>51998127463.86341</v>
      </c>
    </row>
    <row r="63" spans="1:6" ht="12.75">
      <c r="A63" s="20" t="s">
        <v>50</v>
      </c>
      <c r="B63" s="20" t="s">
        <v>30</v>
      </c>
      <c r="C63" s="20" t="s">
        <v>29</v>
      </c>
      <c r="D63" s="20" t="s">
        <v>21</v>
      </c>
      <c r="E63" s="21">
        <v>193</v>
      </c>
      <c r="F63" s="21">
        <v>7491902616.88408</v>
      </c>
    </row>
    <row r="64" spans="1:6" ht="12.75">
      <c r="A64" s="20" t="s">
        <v>50</v>
      </c>
      <c r="B64" s="20" t="s">
        <v>30</v>
      </c>
      <c r="C64" s="20" t="s">
        <v>29</v>
      </c>
      <c r="D64" s="20" t="s">
        <v>73</v>
      </c>
      <c r="E64" s="21">
        <v>90</v>
      </c>
      <c r="F64" s="21">
        <v>1344581354.99671</v>
      </c>
    </row>
    <row r="65" spans="1:6" ht="12.75">
      <c r="A65" s="20" t="s">
        <v>50</v>
      </c>
      <c r="B65" s="20" t="s">
        <v>30</v>
      </c>
      <c r="C65" s="20" t="s">
        <v>30</v>
      </c>
      <c r="D65" s="20" t="s">
        <v>72</v>
      </c>
      <c r="E65" s="21">
        <v>218</v>
      </c>
      <c r="F65" s="21">
        <v>27436226033.16548</v>
      </c>
    </row>
    <row r="66" spans="1:6" ht="12.75">
      <c r="A66" s="20" t="s">
        <v>50</v>
      </c>
      <c r="B66" s="20" t="s">
        <v>30</v>
      </c>
      <c r="C66" s="20" t="s">
        <v>30</v>
      </c>
      <c r="D66" s="20" t="s">
        <v>21</v>
      </c>
      <c r="E66" s="21">
        <v>133</v>
      </c>
      <c r="F66" s="21">
        <v>5121110365.34982</v>
      </c>
    </row>
    <row r="67" spans="1:6" ht="12.75">
      <c r="A67" s="20" t="s">
        <v>50</v>
      </c>
      <c r="B67" s="20" t="s">
        <v>30</v>
      </c>
      <c r="C67" s="20" t="s">
        <v>30</v>
      </c>
      <c r="D67" s="20" t="s">
        <v>73</v>
      </c>
      <c r="E67" s="21">
        <v>117</v>
      </c>
      <c r="F67" s="21">
        <v>1221413828.04312</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B70"/>
  <sheetViews>
    <sheetView zoomScaleSheetLayoutView="85" zoomScalePageLayoutView="0" workbookViewId="0" topLeftCell="A2">
      <selection activeCell="A35" sqref="A35"/>
    </sheetView>
  </sheetViews>
  <sheetFormatPr defaultColWidth="9.140625" defaultRowHeight="12.75"/>
  <cols>
    <col min="1" max="1" width="19.28125" style="8" bestFit="1" customWidth="1"/>
    <col min="2" max="2" width="10.7109375" style="8" customWidth="1"/>
    <col min="3" max="3" width="10.7109375" style="184" customWidth="1"/>
    <col min="4" max="5" width="9.28125" style="185" customWidth="1"/>
    <col min="6" max="6" width="2.57421875" style="185" customWidth="1"/>
    <col min="7" max="7" width="10.7109375" style="187" customWidth="1"/>
    <col min="8" max="9" width="9.28125" style="188" customWidth="1"/>
    <col min="10" max="10" width="2.7109375" style="186" customWidth="1"/>
    <col min="11" max="11" width="10.7109375" style="187" customWidth="1"/>
    <col min="12" max="13" width="9.28125" style="188" customWidth="1"/>
    <col min="14" max="14" width="2.421875" style="188" customWidth="1"/>
    <col min="15" max="15" width="10.7109375" style="187" customWidth="1"/>
    <col min="16" max="17" width="9.28125" style="188" customWidth="1"/>
    <col min="18" max="22" width="9.140625" style="189" customWidth="1"/>
    <col min="23" max="16384" width="9.140625" style="186" customWidth="1"/>
  </cols>
  <sheetData>
    <row r="1" spans="8:12" ht="27.75" customHeight="1">
      <c r="H1" s="674" t="s">
        <v>86</v>
      </c>
      <c r="I1" s="674"/>
      <c r="J1" s="674"/>
      <c r="K1" s="674"/>
      <c r="L1" s="674"/>
    </row>
    <row r="2" spans="3:17" ht="18">
      <c r="C2" s="9" t="s">
        <v>80</v>
      </c>
      <c r="D2" s="190"/>
      <c r="E2" s="190"/>
      <c r="F2" s="190"/>
      <c r="G2" s="192"/>
      <c r="H2" s="190"/>
      <c r="I2" s="190"/>
      <c r="J2" s="191"/>
      <c r="K2" s="192"/>
      <c r="L2" s="190"/>
      <c r="M2" s="190"/>
      <c r="N2" s="190"/>
      <c r="O2" s="192"/>
      <c r="P2" s="190"/>
      <c r="Q2" s="190"/>
    </row>
    <row r="3" spans="3:17" ht="18">
      <c r="C3" s="9"/>
      <c r="D3" s="190"/>
      <c r="E3" s="190"/>
      <c r="F3" s="190"/>
      <c r="G3" s="192"/>
      <c r="H3" s="675" t="s">
        <v>150</v>
      </c>
      <c r="I3" s="675"/>
      <c r="J3" s="675"/>
      <c r="K3" s="675"/>
      <c r="L3" s="675"/>
      <c r="M3" s="190"/>
      <c r="N3" s="190"/>
      <c r="O3" s="192"/>
      <c r="P3" s="190"/>
      <c r="Q3" s="190"/>
    </row>
    <row r="4" spans="3:17" ht="15.75">
      <c r="C4" s="10" t="s">
        <v>1</v>
      </c>
      <c r="D4" s="190"/>
      <c r="E4" s="190"/>
      <c r="F4" s="190"/>
      <c r="G4" s="192"/>
      <c r="H4" s="190"/>
      <c r="I4" s="190"/>
      <c r="J4" s="191"/>
      <c r="K4" s="192"/>
      <c r="L4" s="190"/>
      <c r="M4" s="190"/>
      <c r="N4" s="190"/>
      <c r="O4" s="192"/>
      <c r="P4" s="190"/>
      <c r="Q4" s="190"/>
    </row>
    <row r="5" spans="3:12" ht="15.75">
      <c r="C5" s="11"/>
      <c r="G5" s="192"/>
      <c r="H5" s="675" t="s">
        <v>152</v>
      </c>
      <c r="I5" s="676"/>
      <c r="J5" s="675"/>
      <c r="K5" s="675"/>
      <c r="L5" s="675"/>
    </row>
    <row r="6" spans="1:28" ht="15.75" customHeight="1">
      <c r="A6" s="666"/>
      <c r="B6" s="666"/>
      <c r="C6" s="673" t="s">
        <v>132</v>
      </c>
      <c r="D6" s="673"/>
      <c r="E6" s="673"/>
      <c r="F6" s="191"/>
      <c r="G6" s="673" t="s">
        <v>67</v>
      </c>
      <c r="H6" s="673"/>
      <c r="I6" s="673"/>
      <c r="J6" s="191"/>
      <c r="K6" s="673" t="s">
        <v>130</v>
      </c>
      <c r="L6" s="673"/>
      <c r="M6" s="673"/>
      <c r="N6" s="186"/>
      <c r="O6" s="673" t="s">
        <v>68</v>
      </c>
      <c r="P6" s="673"/>
      <c r="Q6" s="673"/>
      <c r="R6" s="666"/>
      <c r="S6" s="666"/>
      <c r="T6" s="666"/>
      <c r="U6" s="666"/>
      <c r="V6" s="666"/>
      <c r="W6" s="666"/>
      <c r="X6" s="666"/>
      <c r="Y6" s="666"/>
      <c r="Z6" s="666"/>
      <c r="AA6" s="666"/>
      <c r="AB6" s="666"/>
    </row>
    <row r="7" spans="3:22" s="12" customFormat="1" ht="39.75" customHeight="1">
      <c r="C7" s="13" t="s">
        <v>2</v>
      </c>
      <c r="D7" s="367" t="s">
        <v>257</v>
      </c>
      <c r="E7" s="2" t="s">
        <v>70</v>
      </c>
      <c r="F7" s="2"/>
      <c r="G7" s="13" t="s">
        <v>2</v>
      </c>
      <c r="H7" s="367" t="s">
        <v>257</v>
      </c>
      <c r="I7" s="2" t="s">
        <v>70</v>
      </c>
      <c r="K7" s="13" t="s">
        <v>2</v>
      </c>
      <c r="L7" s="367" t="s">
        <v>257</v>
      </c>
      <c r="M7" s="2" t="s">
        <v>70</v>
      </c>
      <c r="N7" s="2"/>
      <c r="O7" s="13" t="s">
        <v>2</v>
      </c>
      <c r="P7" s="367" t="s">
        <v>257</v>
      </c>
      <c r="Q7" s="2" t="s">
        <v>70</v>
      </c>
      <c r="R7" s="47"/>
      <c r="S7" s="47"/>
      <c r="T7" s="47"/>
      <c r="U7" s="47"/>
      <c r="V7" s="47"/>
    </row>
    <row r="8" spans="1:22" s="195" customFormat="1" ht="12.75">
      <c r="A8" s="8" t="s">
        <v>10</v>
      </c>
      <c r="B8" s="14"/>
      <c r="C8" s="3">
        <v>53253</v>
      </c>
      <c r="D8" s="48">
        <v>0.7975405990754186</v>
      </c>
      <c r="E8" s="48">
        <v>0.7594946308409477</v>
      </c>
      <c r="F8" s="49"/>
      <c r="G8" s="3">
        <v>25329</v>
      </c>
      <c r="H8" s="48">
        <v>0.9763388095940334</v>
      </c>
      <c r="I8" s="48">
        <v>0.9186139606985206</v>
      </c>
      <c r="J8" s="49"/>
      <c r="K8" s="3">
        <v>42133</v>
      </c>
      <c r="L8" s="48">
        <v>0.7734665821925552</v>
      </c>
      <c r="M8" s="48">
        <v>0.7161090054951699</v>
      </c>
      <c r="N8" s="49"/>
      <c r="O8" s="3">
        <v>21603</v>
      </c>
      <c r="P8" s="48">
        <v>0.9643132033433468</v>
      </c>
      <c r="Q8" s="50">
        <v>0.8902552349428698</v>
      </c>
      <c r="R8" s="194"/>
      <c r="S8" s="194"/>
      <c r="T8" s="194"/>
      <c r="U8" s="194"/>
      <c r="V8" s="194"/>
    </row>
    <row r="9" spans="1:22" s="195" customFormat="1" ht="12.75">
      <c r="A9" s="8"/>
      <c r="B9" s="8"/>
      <c r="C9" s="196"/>
      <c r="D9" s="193"/>
      <c r="E9" s="193"/>
      <c r="F9" s="193"/>
      <c r="G9" s="196"/>
      <c r="H9" s="193"/>
      <c r="I9" s="193"/>
      <c r="K9" s="196"/>
      <c r="L9" s="193"/>
      <c r="M9" s="193"/>
      <c r="N9" s="193"/>
      <c r="O9" s="196"/>
      <c r="P9" s="193"/>
      <c r="Q9" s="193"/>
      <c r="R9" s="194"/>
      <c r="S9" s="194"/>
      <c r="T9" s="194"/>
      <c r="U9" s="194"/>
      <c r="V9" s="194"/>
    </row>
    <row r="10" spans="1:22" s="195" customFormat="1" ht="12.75">
      <c r="A10" s="12" t="s">
        <v>11</v>
      </c>
      <c r="B10" s="197" t="s">
        <v>16</v>
      </c>
      <c r="C10" s="198">
        <v>1339</v>
      </c>
      <c r="D10" s="213">
        <v>1.1859226885042595</v>
      </c>
      <c r="E10" s="213">
        <v>1.0475820076590465</v>
      </c>
      <c r="F10" s="213"/>
      <c r="G10" s="198">
        <v>742</v>
      </c>
      <c r="H10" s="213">
        <v>1.0208346996627924</v>
      </c>
      <c r="I10" s="213">
        <v>0.9501807534347154</v>
      </c>
      <c r="J10" s="200"/>
      <c r="K10" s="198">
        <v>701</v>
      </c>
      <c r="L10" s="213">
        <v>0.8927093737133048</v>
      </c>
      <c r="M10" s="213">
        <v>0.78822909022369</v>
      </c>
      <c r="N10" s="213"/>
      <c r="O10" s="198">
        <v>347</v>
      </c>
      <c r="P10" s="213">
        <v>0.8380077826048348</v>
      </c>
      <c r="Q10" s="255">
        <v>0.7725843627772714</v>
      </c>
      <c r="R10" s="189"/>
      <c r="S10" s="194"/>
      <c r="T10" s="194"/>
      <c r="U10" s="194"/>
      <c r="V10" s="194"/>
    </row>
    <row r="11" spans="1:22" s="195" customFormat="1" ht="12.75">
      <c r="A11" s="8"/>
      <c r="B11" s="202" t="s">
        <v>17</v>
      </c>
      <c r="C11" s="203">
        <v>1626</v>
      </c>
      <c r="D11" s="206">
        <v>0.8809960361300799</v>
      </c>
      <c r="E11" s="206">
        <v>0.7925043737855979</v>
      </c>
      <c r="F11" s="206"/>
      <c r="G11" s="203">
        <v>868</v>
      </c>
      <c r="H11" s="206">
        <v>0.9906307671359066</v>
      </c>
      <c r="I11" s="206">
        <v>0.904185447963392</v>
      </c>
      <c r="J11" s="194"/>
      <c r="K11" s="203">
        <v>1015</v>
      </c>
      <c r="L11" s="206">
        <v>0.7643957445614473</v>
      </c>
      <c r="M11" s="206">
        <v>0.7129966468095712</v>
      </c>
      <c r="N11" s="206"/>
      <c r="O11" s="203">
        <v>435</v>
      </c>
      <c r="P11" s="206">
        <v>0.8473181737009217</v>
      </c>
      <c r="Q11" s="207">
        <v>0.7425730449412391</v>
      </c>
      <c r="R11" s="189"/>
      <c r="S11" s="194"/>
      <c r="T11" s="194"/>
      <c r="U11" s="194"/>
      <c r="V11" s="194"/>
    </row>
    <row r="12" spans="1:22" s="195" customFormat="1" ht="12.75">
      <c r="A12" s="8"/>
      <c r="B12" s="202" t="s">
        <v>18</v>
      </c>
      <c r="C12" s="203">
        <v>2203</v>
      </c>
      <c r="D12" s="206">
        <v>0.8100789798691206</v>
      </c>
      <c r="E12" s="206">
        <v>0.7689823673562611</v>
      </c>
      <c r="F12" s="206"/>
      <c r="G12" s="203">
        <v>1299</v>
      </c>
      <c r="H12" s="206">
        <v>0.8889072585744263</v>
      </c>
      <c r="I12" s="206">
        <v>0.8252534012889977</v>
      </c>
      <c r="J12" s="194"/>
      <c r="K12" s="203">
        <v>1500</v>
      </c>
      <c r="L12" s="206">
        <v>0.7109329005603502</v>
      </c>
      <c r="M12" s="206">
        <v>0.688670934333288</v>
      </c>
      <c r="N12" s="206"/>
      <c r="O12" s="203">
        <v>729</v>
      </c>
      <c r="P12" s="206">
        <v>0.7922851811925218</v>
      </c>
      <c r="Q12" s="207">
        <v>0.8059074800873449</v>
      </c>
      <c r="R12" s="189"/>
      <c r="S12" s="194"/>
      <c r="T12" s="194"/>
      <c r="U12" s="194"/>
      <c r="V12" s="194"/>
    </row>
    <row r="13" spans="1:22" s="195" customFormat="1" ht="12.75">
      <c r="A13" s="8"/>
      <c r="B13" s="202" t="s">
        <v>19</v>
      </c>
      <c r="C13" s="203">
        <v>3076</v>
      </c>
      <c r="D13" s="206">
        <v>0.8190945380142645</v>
      </c>
      <c r="E13" s="206">
        <v>0.7922528534461278</v>
      </c>
      <c r="F13" s="206"/>
      <c r="G13" s="203">
        <v>1997</v>
      </c>
      <c r="H13" s="206">
        <v>0.9270668436502384</v>
      </c>
      <c r="I13" s="206">
        <v>0.8746318252328207</v>
      </c>
      <c r="J13" s="194"/>
      <c r="K13" s="203">
        <v>1967</v>
      </c>
      <c r="L13" s="206">
        <v>0.6484356345267877</v>
      </c>
      <c r="M13" s="206">
        <v>0.6310502639539632</v>
      </c>
      <c r="N13" s="206"/>
      <c r="O13" s="203">
        <v>1107</v>
      </c>
      <c r="P13" s="206">
        <v>0.7504912158223433</v>
      </c>
      <c r="Q13" s="207">
        <v>0.7508544965625101</v>
      </c>
      <c r="R13" s="189"/>
      <c r="S13" s="194"/>
      <c r="T13" s="194"/>
      <c r="U13" s="194"/>
      <c r="V13" s="194"/>
    </row>
    <row r="14" spans="1:22" s="195" customFormat="1" ht="12.75">
      <c r="A14" s="8"/>
      <c r="B14" s="202" t="s">
        <v>20</v>
      </c>
      <c r="C14" s="203">
        <v>8743</v>
      </c>
      <c r="D14" s="206">
        <v>0.7585081860189277</v>
      </c>
      <c r="E14" s="206">
        <v>0.7339617984652459</v>
      </c>
      <c r="F14" s="206"/>
      <c r="G14" s="203">
        <v>6194</v>
      </c>
      <c r="H14" s="206">
        <v>0.9736726048628099</v>
      </c>
      <c r="I14" s="206">
        <v>0.9305938822994009</v>
      </c>
      <c r="J14" s="194"/>
      <c r="K14" s="203">
        <v>5695</v>
      </c>
      <c r="L14" s="206">
        <v>0.6393385937057525</v>
      </c>
      <c r="M14" s="206">
        <v>0.6168745211489798</v>
      </c>
      <c r="N14" s="206"/>
      <c r="O14" s="203">
        <v>3978</v>
      </c>
      <c r="P14" s="206">
        <v>0.8581400673044125</v>
      </c>
      <c r="Q14" s="207">
        <v>0.8310011216277188</v>
      </c>
      <c r="R14" s="189"/>
      <c r="S14" s="194"/>
      <c r="T14" s="194"/>
      <c r="U14" s="194"/>
      <c r="V14" s="194"/>
    </row>
    <row r="15" spans="1:22" s="195" customFormat="1" ht="12.75">
      <c r="A15" s="8"/>
      <c r="B15" s="202" t="s">
        <v>21</v>
      </c>
      <c r="C15" s="203">
        <v>14341</v>
      </c>
      <c r="D15" s="206">
        <v>0.7390720100627809</v>
      </c>
      <c r="E15" s="206">
        <v>0.7080728840335657</v>
      </c>
      <c r="F15" s="206"/>
      <c r="G15" s="203">
        <v>7563</v>
      </c>
      <c r="H15" s="206">
        <v>1.004589568994106</v>
      </c>
      <c r="I15" s="206">
        <v>0.932020739395893</v>
      </c>
      <c r="J15" s="194"/>
      <c r="K15" s="203">
        <v>9877</v>
      </c>
      <c r="L15" s="206">
        <v>0.712341744801738</v>
      </c>
      <c r="M15" s="206">
        <v>0.663568615967277</v>
      </c>
      <c r="N15" s="206"/>
      <c r="O15" s="203">
        <v>6383</v>
      </c>
      <c r="P15" s="206">
        <v>1.0300482935148922</v>
      </c>
      <c r="Q15" s="207">
        <v>0.9535808158591312</v>
      </c>
      <c r="R15" s="189"/>
      <c r="S15" s="194"/>
      <c r="T15" s="194"/>
      <c r="U15" s="194"/>
      <c r="V15" s="194"/>
    </row>
    <row r="16" spans="1:22" s="195" customFormat="1" ht="12.75">
      <c r="A16" s="8"/>
      <c r="B16" s="202" t="s">
        <v>22</v>
      </c>
      <c r="C16" s="203">
        <v>17163</v>
      </c>
      <c r="D16" s="206">
        <v>0.8102619435800706</v>
      </c>
      <c r="E16" s="206">
        <v>0.7727170893196138</v>
      </c>
      <c r="F16" s="206"/>
      <c r="G16" s="203">
        <v>5626</v>
      </c>
      <c r="H16" s="206">
        <v>0.9708537185435134</v>
      </c>
      <c r="I16" s="206">
        <v>0.930013150237801</v>
      </c>
      <c r="J16" s="194"/>
      <c r="K16" s="203">
        <v>14586</v>
      </c>
      <c r="L16" s="206">
        <v>0.8358258504270589</v>
      </c>
      <c r="M16" s="206">
        <v>0.7791793737145969</v>
      </c>
      <c r="N16" s="206"/>
      <c r="O16" s="203">
        <v>7444</v>
      </c>
      <c r="P16" s="206">
        <v>1.0398395948246282</v>
      </c>
      <c r="Q16" s="207">
        <v>1.012961853731793</v>
      </c>
      <c r="R16" s="189"/>
      <c r="S16" s="194"/>
      <c r="T16" s="194"/>
      <c r="U16" s="194"/>
      <c r="V16" s="194"/>
    </row>
    <row r="17" spans="1:22" s="195" customFormat="1" ht="12.75">
      <c r="A17" s="8"/>
      <c r="B17" s="202" t="s">
        <v>23</v>
      </c>
      <c r="C17" s="203">
        <v>4539</v>
      </c>
      <c r="D17" s="206">
        <v>0.9170897523554612</v>
      </c>
      <c r="E17" s="206">
        <v>0.8835251746845932</v>
      </c>
      <c r="F17" s="206"/>
      <c r="G17" s="203">
        <v>997</v>
      </c>
      <c r="H17" s="206">
        <v>1.0064559962800919</v>
      </c>
      <c r="I17" s="206">
        <v>1.0054204643707436</v>
      </c>
      <c r="J17" s="194"/>
      <c r="K17" s="203">
        <v>6331</v>
      </c>
      <c r="L17" s="206">
        <v>0.979449671534023</v>
      </c>
      <c r="M17" s="206">
        <v>0.937675046781762</v>
      </c>
      <c r="N17" s="206"/>
      <c r="O17" s="203">
        <v>1130</v>
      </c>
      <c r="P17" s="206">
        <v>1.0976495777036108</v>
      </c>
      <c r="Q17" s="207">
        <v>1.0616019244352477</v>
      </c>
      <c r="R17" s="189"/>
      <c r="S17" s="194"/>
      <c r="T17" s="194"/>
      <c r="U17" s="194"/>
      <c r="V17" s="194"/>
    </row>
    <row r="18" spans="1:22" s="195" customFormat="1" ht="12.75">
      <c r="A18" s="8"/>
      <c r="B18" s="208" t="s">
        <v>24</v>
      </c>
      <c r="C18" s="209">
        <v>223</v>
      </c>
      <c r="D18" s="210">
        <v>0.8579424969235245</v>
      </c>
      <c r="E18" s="210">
        <v>0.7535239280374018</v>
      </c>
      <c r="F18" s="210"/>
      <c r="G18" s="209">
        <v>43</v>
      </c>
      <c r="H18" s="210">
        <v>0.879543635489299</v>
      </c>
      <c r="I18" s="210">
        <v>0.9901158419914406</v>
      </c>
      <c r="J18" s="211"/>
      <c r="K18" s="209">
        <v>461</v>
      </c>
      <c r="L18" s="210">
        <v>0.872328449183375</v>
      </c>
      <c r="M18" s="210">
        <v>0.8060515696218529</v>
      </c>
      <c r="N18" s="210"/>
      <c r="O18" s="209">
        <v>50</v>
      </c>
      <c r="P18" s="210">
        <v>0.8448666073908258</v>
      </c>
      <c r="Q18" s="212">
        <v>0.9441452278978637</v>
      </c>
      <c r="R18" s="189"/>
      <c r="S18" s="194"/>
      <c r="T18" s="194"/>
      <c r="U18" s="194"/>
      <c r="V18" s="194"/>
    </row>
    <row r="19" spans="1:22" s="195" customFormat="1" ht="12.75">
      <c r="A19" s="8"/>
      <c r="B19" s="8"/>
      <c r="C19" s="196"/>
      <c r="D19" s="193"/>
      <c r="E19" s="193"/>
      <c r="F19" s="193"/>
      <c r="G19" s="196"/>
      <c r="H19" s="193"/>
      <c r="I19" s="193"/>
      <c r="J19" s="196"/>
      <c r="K19" s="196"/>
      <c r="L19" s="193"/>
      <c r="M19" s="193"/>
      <c r="N19" s="193"/>
      <c r="O19" s="196"/>
      <c r="P19" s="193"/>
      <c r="Q19" s="193"/>
      <c r="R19" s="189"/>
      <c r="S19" s="194"/>
      <c r="T19" s="194"/>
      <c r="U19" s="194"/>
      <c r="V19" s="194"/>
    </row>
    <row r="20" spans="1:22" s="195" customFormat="1" ht="12.75">
      <c r="A20" s="8"/>
      <c r="B20" s="197" t="s">
        <v>29</v>
      </c>
      <c r="C20" s="198">
        <v>247</v>
      </c>
      <c r="D20" s="213">
        <v>1.6277861916676692</v>
      </c>
      <c r="E20" s="213">
        <v>1.4162754804695294</v>
      </c>
      <c r="F20" s="213"/>
      <c r="G20" s="198">
        <v>146</v>
      </c>
      <c r="H20" s="213">
        <v>1.7269635190785113</v>
      </c>
      <c r="I20" s="213">
        <v>1.5376271336882879</v>
      </c>
      <c r="J20" s="200"/>
      <c r="K20" s="198">
        <v>151</v>
      </c>
      <c r="L20" s="213">
        <v>0.9094348627217119</v>
      </c>
      <c r="M20" s="213">
        <v>0.8598653234332535</v>
      </c>
      <c r="N20" s="213"/>
      <c r="O20" s="198">
        <v>64</v>
      </c>
      <c r="P20" s="199">
        <v>1.2753155110647567</v>
      </c>
      <c r="Q20" s="201">
        <v>0.885917096274222</v>
      </c>
      <c r="R20" s="189"/>
      <c r="S20" s="194"/>
      <c r="T20" s="194"/>
      <c r="U20" s="194"/>
      <c r="V20" s="194"/>
    </row>
    <row r="21" spans="1:22" s="195" customFormat="1" ht="12.75">
      <c r="A21" s="8"/>
      <c r="B21" s="202" t="s">
        <v>30</v>
      </c>
      <c r="C21" s="203">
        <v>302</v>
      </c>
      <c r="D21" s="206">
        <v>1.4236611445113592</v>
      </c>
      <c r="E21" s="206">
        <v>1.2584181416315479</v>
      </c>
      <c r="F21" s="206"/>
      <c r="G21" s="203">
        <v>149</v>
      </c>
      <c r="H21" s="206">
        <v>1.380937940463593</v>
      </c>
      <c r="I21" s="206">
        <v>1.1713425727753626</v>
      </c>
      <c r="J21" s="194"/>
      <c r="K21" s="203">
        <v>221</v>
      </c>
      <c r="L21" s="206">
        <v>0.9123357243547263</v>
      </c>
      <c r="M21" s="206">
        <v>0.836541509118264</v>
      </c>
      <c r="N21" s="206"/>
      <c r="O21" s="203">
        <v>100</v>
      </c>
      <c r="P21" s="204">
        <v>1.4016444372867145</v>
      </c>
      <c r="Q21" s="205">
        <v>1.2903670836806933</v>
      </c>
      <c r="R21" s="189"/>
      <c r="S21" s="194"/>
      <c r="T21" s="194"/>
      <c r="U21" s="194"/>
      <c r="V21" s="194"/>
    </row>
    <row r="22" spans="1:22" s="195" customFormat="1" ht="12.75">
      <c r="A22" s="8"/>
      <c r="B22" s="202" t="s">
        <v>31</v>
      </c>
      <c r="C22" s="203">
        <v>365</v>
      </c>
      <c r="D22" s="206">
        <v>1.2671246251784498</v>
      </c>
      <c r="E22" s="206">
        <v>1.191511510753266</v>
      </c>
      <c r="F22" s="206"/>
      <c r="G22" s="203">
        <v>204</v>
      </c>
      <c r="H22" s="206">
        <v>1.5164548734250785</v>
      </c>
      <c r="I22" s="206">
        <v>1.4098573554625442</v>
      </c>
      <c r="J22" s="194"/>
      <c r="K22" s="203">
        <v>329</v>
      </c>
      <c r="L22" s="206">
        <v>1.0910833024524698</v>
      </c>
      <c r="M22" s="206">
        <v>0.96317421304343</v>
      </c>
      <c r="N22" s="206"/>
      <c r="O22" s="203">
        <v>129</v>
      </c>
      <c r="P22" s="204">
        <v>1.4650856461811381</v>
      </c>
      <c r="Q22" s="205">
        <v>1.3434508133446867</v>
      </c>
      <c r="R22" s="189"/>
      <c r="S22" s="194"/>
      <c r="T22" s="194"/>
      <c r="U22" s="194"/>
      <c r="V22" s="194"/>
    </row>
    <row r="23" spans="1:22" s="195" customFormat="1" ht="12.75">
      <c r="A23" s="8"/>
      <c r="B23" s="202" t="s">
        <v>32</v>
      </c>
      <c r="C23" s="203">
        <v>871</v>
      </c>
      <c r="D23" s="206">
        <v>1.0432783480527017</v>
      </c>
      <c r="E23" s="206">
        <v>0.9608030057733288</v>
      </c>
      <c r="F23" s="206"/>
      <c r="G23" s="203">
        <v>485</v>
      </c>
      <c r="H23" s="206">
        <v>1.2476494348958398</v>
      </c>
      <c r="I23" s="206">
        <v>1.1429683104675363</v>
      </c>
      <c r="J23" s="194"/>
      <c r="K23" s="203">
        <v>839</v>
      </c>
      <c r="L23" s="206">
        <v>1.004261456010811</v>
      </c>
      <c r="M23" s="206">
        <v>0.9441335514487171</v>
      </c>
      <c r="N23" s="206"/>
      <c r="O23" s="203">
        <v>327</v>
      </c>
      <c r="P23" s="204">
        <v>1.2940125012687846</v>
      </c>
      <c r="Q23" s="205">
        <v>1.052603759697862</v>
      </c>
      <c r="R23" s="189"/>
      <c r="S23" s="194"/>
      <c r="T23" s="194"/>
      <c r="U23" s="194"/>
      <c r="V23" s="194"/>
    </row>
    <row r="24" spans="1:22" s="195" customFormat="1" ht="12.75">
      <c r="A24" s="8" t="s">
        <v>28</v>
      </c>
      <c r="B24" s="202" t="s">
        <v>33</v>
      </c>
      <c r="C24" s="203">
        <v>3937</v>
      </c>
      <c r="D24" s="206">
        <v>0.9785601424803282</v>
      </c>
      <c r="E24" s="206">
        <v>0.9042430479053915</v>
      </c>
      <c r="F24" s="206"/>
      <c r="G24" s="203">
        <v>1963</v>
      </c>
      <c r="H24" s="206">
        <v>1.1440244890942823</v>
      </c>
      <c r="I24" s="206">
        <v>1.0268355670971174</v>
      </c>
      <c r="J24" s="194"/>
      <c r="K24" s="203">
        <v>4143</v>
      </c>
      <c r="L24" s="206">
        <v>0.9390728365019604</v>
      </c>
      <c r="M24" s="206">
        <v>0.8556225376727963</v>
      </c>
      <c r="N24" s="206"/>
      <c r="O24" s="203">
        <v>1653</v>
      </c>
      <c r="P24" s="204">
        <v>1.1879109557470124</v>
      </c>
      <c r="Q24" s="205">
        <v>1.0854319520672953</v>
      </c>
      <c r="R24" s="194"/>
      <c r="S24" s="194"/>
      <c r="T24" s="194"/>
      <c r="U24" s="194"/>
      <c r="V24" s="194"/>
    </row>
    <row r="25" spans="1:22" s="195" customFormat="1" ht="12.75">
      <c r="A25" s="8"/>
      <c r="B25" s="202" t="s">
        <v>34</v>
      </c>
      <c r="C25" s="203">
        <v>10115</v>
      </c>
      <c r="D25" s="206">
        <v>0.8131803558563913</v>
      </c>
      <c r="E25" s="206">
        <v>0.7680995331344245</v>
      </c>
      <c r="F25" s="206"/>
      <c r="G25" s="203">
        <v>4310</v>
      </c>
      <c r="H25" s="206">
        <v>1.0100228338744464</v>
      </c>
      <c r="I25" s="206">
        <v>0.9296376228724045</v>
      </c>
      <c r="J25" s="194"/>
      <c r="K25" s="203">
        <v>9909</v>
      </c>
      <c r="L25" s="206">
        <v>0.764877164791391</v>
      </c>
      <c r="M25" s="206">
        <v>0.7091982996572359</v>
      </c>
      <c r="N25" s="206"/>
      <c r="O25" s="203">
        <v>4165</v>
      </c>
      <c r="P25" s="204">
        <v>1.0076485752602669</v>
      </c>
      <c r="Q25" s="205">
        <v>0.8931254276186738</v>
      </c>
      <c r="R25" s="194"/>
      <c r="S25" s="194"/>
      <c r="T25" s="194"/>
      <c r="U25" s="194"/>
      <c r="V25" s="194"/>
    </row>
    <row r="26" spans="1:22" s="195" customFormat="1" ht="12.75">
      <c r="A26" s="8"/>
      <c r="B26" s="202" t="s">
        <v>35</v>
      </c>
      <c r="C26" s="203">
        <v>19537</v>
      </c>
      <c r="D26" s="206">
        <v>0.7673528230452998</v>
      </c>
      <c r="E26" s="206">
        <v>0.7338755133692555</v>
      </c>
      <c r="F26" s="206"/>
      <c r="G26" s="203">
        <v>9193</v>
      </c>
      <c r="H26" s="206">
        <v>0.9390480288601974</v>
      </c>
      <c r="I26" s="206">
        <v>0.8935076962645356</v>
      </c>
      <c r="J26" s="194"/>
      <c r="K26" s="203">
        <v>14535</v>
      </c>
      <c r="L26" s="206">
        <v>0.7209158350497863</v>
      </c>
      <c r="M26" s="206">
        <v>0.6755224862042037</v>
      </c>
      <c r="N26" s="206"/>
      <c r="O26" s="203">
        <v>8391</v>
      </c>
      <c r="P26" s="204">
        <v>0.92333712329239</v>
      </c>
      <c r="Q26" s="205">
        <v>0.8572124573057021</v>
      </c>
      <c r="R26" s="194"/>
      <c r="S26" s="194"/>
      <c r="T26" s="194"/>
      <c r="U26" s="194"/>
      <c r="V26" s="194"/>
    </row>
    <row r="27" spans="1:22" s="195" customFormat="1" ht="12.75">
      <c r="A27" s="8"/>
      <c r="B27" s="208" t="s">
        <v>36</v>
      </c>
      <c r="C27" s="209">
        <v>17879</v>
      </c>
      <c r="D27" s="210">
        <v>0.7652894765679766</v>
      </c>
      <c r="E27" s="210">
        <v>0.7294160494039876</v>
      </c>
      <c r="F27" s="210"/>
      <c r="G27" s="209">
        <v>8879</v>
      </c>
      <c r="H27" s="210">
        <v>0.9391454272257634</v>
      </c>
      <c r="I27" s="210">
        <v>0.8802926646833323</v>
      </c>
      <c r="J27" s="211"/>
      <c r="K27" s="209">
        <v>12006</v>
      </c>
      <c r="L27" s="210">
        <v>0.7796599982622794</v>
      </c>
      <c r="M27" s="210">
        <v>0.6919334135129568</v>
      </c>
      <c r="N27" s="210"/>
      <c r="O27" s="209">
        <v>6774</v>
      </c>
      <c r="P27" s="214">
        <v>0.924450027087853</v>
      </c>
      <c r="Q27" s="215">
        <v>0.8363343171836518</v>
      </c>
      <c r="R27" s="194"/>
      <c r="S27" s="194"/>
      <c r="T27" s="194"/>
      <c r="U27" s="194"/>
      <c r="V27" s="194"/>
    </row>
    <row r="28" spans="1:22" s="195" customFormat="1" ht="12.75">
      <c r="A28" s="8"/>
      <c r="B28" s="8"/>
      <c r="C28" s="196"/>
      <c r="D28" s="193"/>
      <c r="E28" s="193"/>
      <c r="F28" s="193"/>
      <c r="G28" s="196"/>
      <c r="H28" s="193"/>
      <c r="I28" s="193"/>
      <c r="K28" s="196"/>
      <c r="L28" s="193"/>
      <c r="M28" s="193"/>
      <c r="N28" s="193"/>
      <c r="O28" s="196"/>
      <c r="P28" s="193"/>
      <c r="Q28" s="193"/>
      <c r="R28" s="194"/>
      <c r="S28" s="194"/>
      <c r="T28" s="194"/>
      <c r="U28" s="194"/>
      <c r="V28" s="194"/>
    </row>
    <row r="29" spans="1:22" s="195" customFormat="1" ht="12.75">
      <c r="A29" s="12" t="s">
        <v>59</v>
      </c>
      <c r="B29" s="216" t="s">
        <v>38</v>
      </c>
      <c r="C29" s="198">
        <v>6457</v>
      </c>
      <c r="D29" s="199">
        <v>0.9136286981954991</v>
      </c>
      <c r="E29" s="199">
        <v>0.9029383917741314</v>
      </c>
      <c r="F29" s="199"/>
      <c r="G29" s="198">
        <v>4001</v>
      </c>
      <c r="H29" s="199">
        <v>1.0711387038630504</v>
      </c>
      <c r="I29" s="199">
        <v>1.0564568687523472</v>
      </c>
      <c r="J29" s="200"/>
      <c r="K29" s="198">
        <v>12637</v>
      </c>
      <c r="L29" s="199">
        <v>0.8823568553876957</v>
      </c>
      <c r="M29" s="199">
        <v>0.875934399130083</v>
      </c>
      <c r="N29" s="199"/>
      <c r="O29" s="198">
        <v>8489</v>
      </c>
      <c r="P29" s="199">
        <v>1.0296404909008585</v>
      </c>
      <c r="Q29" s="201">
        <v>1.0432118969652546</v>
      </c>
      <c r="R29" s="194"/>
      <c r="S29" s="194"/>
      <c r="T29" s="194"/>
      <c r="U29" s="194"/>
      <c r="V29" s="194"/>
    </row>
    <row r="30" spans="1:22" s="195" customFormat="1" ht="25.5">
      <c r="A30" s="8"/>
      <c r="B30" s="217" t="s">
        <v>39</v>
      </c>
      <c r="C30" s="203">
        <v>13052</v>
      </c>
      <c r="D30" s="204">
        <v>0.8607461477430529</v>
      </c>
      <c r="E30" s="204">
        <v>0.8510325271431839</v>
      </c>
      <c r="F30" s="204"/>
      <c r="G30" s="203">
        <v>7744</v>
      </c>
      <c r="H30" s="204">
        <v>1.0428232681837752</v>
      </c>
      <c r="I30" s="204">
        <v>1.015403703892578</v>
      </c>
      <c r="J30" s="194"/>
      <c r="K30" s="203">
        <v>12547</v>
      </c>
      <c r="L30" s="204">
        <v>0.7864709559946053</v>
      </c>
      <c r="M30" s="204">
        <v>0.784025801830338</v>
      </c>
      <c r="N30" s="204"/>
      <c r="O30" s="203">
        <v>7066</v>
      </c>
      <c r="P30" s="204">
        <v>0.9950940132954293</v>
      </c>
      <c r="Q30" s="205">
        <v>0.9829261674246009</v>
      </c>
      <c r="R30" s="194"/>
      <c r="S30" s="194"/>
      <c r="T30" s="194"/>
      <c r="U30" s="194"/>
      <c r="V30" s="194"/>
    </row>
    <row r="31" spans="1:22" s="195" customFormat="1" ht="25.5">
      <c r="A31" s="8"/>
      <c r="B31" s="217" t="s">
        <v>40</v>
      </c>
      <c r="C31" s="203">
        <v>14851</v>
      </c>
      <c r="D31" s="204">
        <v>0.786253084365086</v>
      </c>
      <c r="E31" s="204">
        <v>0.782282332886003</v>
      </c>
      <c r="F31" s="204"/>
      <c r="G31" s="203">
        <v>6711</v>
      </c>
      <c r="H31" s="204">
        <v>0.9711680340257127</v>
      </c>
      <c r="I31" s="204">
        <v>0.968288015897116</v>
      </c>
      <c r="J31" s="194"/>
      <c r="K31" s="203">
        <v>8479</v>
      </c>
      <c r="L31" s="204">
        <v>0.7353721134756089</v>
      </c>
      <c r="M31" s="204">
        <v>0.7356574330271938</v>
      </c>
      <c r="N31" s="204"/>
      <c r="O31" s="203">
        <v>3272</v>
      </c>
      <c r="P31" s="204">
        <v>0.878958921510955</v>
      </c>
      <c r="Q31" s="205">
        <v>0.8696186308259244</v>
      </c>
      <c r="R31" s="194"/>
      <c r="S31" s="194"/>
      <c r="T31" s="194"/>
      <c r="U31" s="194"/>
      <c r="V31" s="194"/>
    </row>
    <row r="32" spans="1:22" s="195" customFormat="1" ht="25.5">
      <c r="A32" s="8"/>
      <c r="B32" s="218" t="s">
        <v>41</v>
      </c>
      <c r="C32" s="209">
        <v>18893</v>
      </c>
      <c r="D32" s="214">
        <v>0.7365062684008429</v>
      </c>
      <c r="E32" s="214">
        <v>0.734781804762671</v>
      </c>
      <c r="F32" s="214"/>
      <c r="G32" s="209">
        <v>6873</v>
      </c>
      <c r="H32" s="214">
        <v>0.8731687293186955</v>
      </c>
      <c r="I32" s="214">
        <v>0.8691069370142771</v>
      </c>
      <c r="J32" s="211"/>
      <c r="K32" s="209">
        <v>8470</v>
      </c>
      <c r="L32" s="214">
        <v>0.6686502691348212</v>
      </c>
      <c r="M32" s="214">
        <v>0.6723583756722629</v>
      </c>
      <c r="N32" s="214"/>
      <c r="O32" s="209">
        <v>2776</v>
      </c>
      <c r="P32" s="214">
        <v>0.8325273947322744</v>
      </c>
      <c r="Q32" s="215">
        <v>0.8313814000649287</v>
      </c>
      <c r="R32" s="194"/>
      <c r="S32" s="194"/>
      <c r="T32" s="194"/>
      <c r="U32" s="194"/>
      <c r="V32" s="194"/>
    </row>
    <row r="33" spans="2:22" s="195" customFormat="1" ht="25.5" customHeight="1">
      <c r="B33" s="37"/>
      <c r="C33" s="203"/>
      <c r="D33" s="204"/>
      <c r="E33" s="204"/>
      <c r="F33" s="204"/>
      <c r="G33" s="203"/>
      <c r="H33" s="204"/>
      <c r="I33" s="204"/>
      <c r="J33" s="194"/>
      <c r="K33" s="203"/>
      <c r="L33" s="204"/>
      <c r="M33" s="204"/>
      <c r="N33" s="204"/>
      <c r="O33" s="203"/>
      <c r="P33" s="204"/>
      <c r="Q33" s="204"/>
      <c r="R33" s="194"/>
      <c r="S33" s="194"/>
      <c r="T33" s="194"/>
      <c r="U33" s="194"/>
      <c r="V33" s="194"/>
    </row>
    <row r="34" spans="1:22" s="195" customFormat="1" ht="12.75">
      <c r="A34" s="8" t="s">
        <v>207</v>
      </c>
      <c r="B34" s="216">
        <v>2006</v>
      </c>
      <c r="C34" s="198">
        <v>27500</v>
      </c>
      <c r="D34" s="199">
        <v>0.80367896055542</v>
      </c>
      <c r="E34" s="199">
        <v>0.7619476420945349</v>
      </c>
      <c r="F34" s="199"/>
      <c r="G34" s="198">
        <v>13648</v>
      </c>
      <c r="H34" s="199">
        <v>0.9750853309333185</v>
      </c>
      <c r="I34" s="199">
        <v>0.9233622623529788</v>
      </c>
      <c r="J34" s="199"/>
      <c r="K34" s="198">
        <v>21598</v>
      </c>
      <c r="L34" s="199">
        <v>0.7839581188796303</v>
      </c>
      <c r="M34" s="199">
        <v>0.7290043052974239</v>
      </c>
      <c r="N34" s="199"/>
      <c r="O34" s="198">
        <v>11279</v>
      </c>
      <c r="P34" s="199">
        <v>0.9584390443134888</v>
      </c>
      <c r="Q34" s="201">
        <v>0.8854240153885687</v>
      </c>
      <c r="R34" s="194"/>
      <c r="S34" s="194"/>
      <c r="T34" s="194"/>
      <c r="U34" s="194"/>
      <c r="V34" s="194"/>
    </row>
    <row r="35" spans="1:22" s="195" customFormat="1" ht="12.75">
      <c r="A35" s="8"/>
      <c r="B35" s="218">
        <v>2007</v>
      </c>
      <c r="C35" s="209">
        <v>25753</v>
      </c>
      <c r="D35" s="214">
        <v>0.7910885181197361</v>
      </c>
      <c r="E35" s="214">
        <v>0.7569603625535908</v>
      </c>
      <c r="F35" s="214"/>
      <c r="G35" s="209">
        <v>11681</v>
      </c>
      <c r="H35" s="214">
        <v>0.9778074540000985</v>
      </c>
      <c r="I35" s="214">
        <v>0.9131407895310744</v>
      </c>
      <c r="J35" s="214"/>
      <c r="K35" s="209">
        <v>20535</v>
      </c>
      <c r="L35" s="214">
        <v>0.7627307350777525</v>
      </c>
      <c r="M35" s="214">
        <v>0.7031365855360292</v>
      </c>
      <c r="N35" s="214"/>
      <c r="O35" s="209">
        <v>10324</v>
      </c>
      <c r="P35" s="214">
        <v>0.9708135969361471</v>
      </c>
      <c r="Q35" s="215">
        <v>0.8956321883186377</v>
      </c>
      <c r="R35" s="194"/>
      <c r="S35" s="194"/>
      <c r="T35" s="194"/>
      <c r="U35" s="194"/>
      <c r="V35" s="194"/>
    </row>
    <row r="36" spans="1:22" s="195" customFormat="1" ht="12.75">
      <c r="A36" s="8"/>
      <c r="B36" s="8"/>
      <c r="C36" s="196"/>
      <c r="D36" s="193"/>
      <c r="E36" s="193"/>
      <c r="F36" s="193"/>
      <c r="G36" s="196"/>
      <c r="H36" s="193"/>
      <c r="I36" s="193"/>
      <c r="K36" s="196"/>
      <c r="L36" s="193"/>
      <c r="M36" s="193"/>
      <c r="N36" s="193"/>
      <c r="O36" s="196"/>
      <c r="P36" s="193"/>
      <c r="Q36" s="193"/>
      <c r="R36" s="194"/>
      <c r="S36" s="194"/>
      <c r="T36" s="194"/>
      <c r="U36" s="194"/>
      <c r="V36" s="194"/>
    </row>
    <row r="37" spans="1:22" s="195" customFormat="1" ht="18" hidden="1">
      <c r="A37" s="8"/>
      <c r="B37" s="8"/>
      <c r="C37" s="9" t="s">
        <v>0</v>
      </c>
      <c r="D37" s="190"/>
      <c r="E37" s="190"/>
      <c r="F37" s="190"/>
      <c r="G37" s="192"/>
      <c r="H37" s="190"/>
      <c r="I37" s="190"/>
      <c r="J37" s="191"/>
      <c r="K37" s="192"/>
      <c r="L37" s="190"/>
      <c r="M37" s="190"/>
      <c r="N37" s="190"/>
      <c r="O37" s="192"/>
      <c r="P37" s="190"/>
      <c r="Q37" s="190"/>
      <c r="R37" s="194"/>
      <c r="S37" s="194"/>
      <c r="T37" s="194"/>
      <c r="U37" s="194"/>
      <c r="V37" s="194"/>
    </row>
    <row r="38" spans="1:17" s="194" customFormat="1" ht="15.75" hidden="1">
      <c r="A38" s="1" t="s">
        <v>207</v>
      </c>
      <c r="B38" s="8"/>
      <c r="C38" s="10" t="s">
        <v>1</v>
      </c>
      <c r="D38" s="190"/>
      <c r="E38" s="190"/>
      <c r="F38" s="190"/>
      <c r="G38" s="192"/>
      <c r="H38" s="190"/>
      <c r="I38" s="190"/>
      <c r="J38" s="191"/>
      <c r="K38" s="192"/>
      <c r="L38" s="190"/>
      <c r="M38" s="190"/>
      <c r="N38" s="190"/>
      <c r="O38" s="192"/>
      <c r="P38" s="190"/>
      <c r="Q38" s="190"/>
    </row>
    <row r="39" spans="1:22" s="195" customFormat="1" ht="12.75" hidden="1">
      <c r="A39" s="8"/>
      <c r="B39" s="8"/>
      <c r="C39" s="219" t="s">
        <v>58</v>
      </c>
      <c r="D39" s="190"/>
      <c r="E39" s="190"/>
      <c r="F39" s="190"/>
      <c r="G39" s="192"/>
      <c r="H39" s="190"/>
      <c r="I39" s="190"/>
      <c r="J39" s="191"/>
      <c r="K39" s="192"/>
      <c r="L39" s="190"/>
      <c r="M39" s="190"/>
      <c r="N39" s="190"/>
      <c r="O39" s="192"/>
      <c r="P39" s="190"/>
      <c r="Q39" s="190"/>
      <c r="R39" s="194"/>
      <c r="S39" s="194"/>
      <c r="T39" s="194"/>
      <c r="U39" s="194"/>
      <c r="V39" s="194"/>
    </row>
    <row r="40" spans="1:22" s="195" customFormat="1" ht="12.75" hidden="1">
      <c r="A40" s="8"/>
      <c r="B40" s="8"/>
      <c r="C40" s="219"/>
      <c r="D40" s="190"/>
      <c r="E40" s="190"/>
      <c r="F40" s="190"/>
      <c r="G40" s="192"/>
      <c r="H40" s="190"/>
      <c r="I40" s="190"/>
      <c r="J40" s="191"/>
      <c r="K40" s="192"/>
      <c r="L40" s="190"/>
      <c r="M40" s="190"/>
      <c r="N40" s="190"/>
      <c r="O40" s="192"/>
      <c r="P40" s="190"/>
      <c r="Q40" s="190"/>
      <c r="R40" s="194"/>
      <c r="S40" s="194"/>
      <c r="T40" s="194"/>
      <c r="U40" s="194"/>
      <c r="V40" s="194"/>
    </row>
    <row r="41" spans="3:17" ht="15.75" hidden="1">
      <c r="C41" s="673" t="s">
        <v>132</v>
      </c>
      <c r="D41" s="673"/>
      <c r="E41" s="673"/>
      <c r="F41" s="88"/>
      <c r="G41" s="673" t="s">
        <v>67</v>
      </c>
      <c r="H41" s="673"/>
      <c r="I41" s="673"/>
      <c r="J41" s="191"/>
      <c r="K41" s="673" t="s">
        <v>130</v>
      </c>
      <c r="L41" s="673"/>
      <c r="M41" s="673"/>
      <c r="N41" s="88"/>
      <c r="O41" s="673" t="s">
        <v>68</v>
      </c>
      <c r="P41" s="673"/>
      <c r="Q41" s="673"/>
    </row>
    <row r="42" spans="2:17" ht="38.25" hidden="1">
      <c r="B42" s="12"/>
      <c r="C42" s="13" t="s">
        <v>2</v>
      </c>
      <c r="D42" s="2" t="s">
        <v>69</v>
      </c>
      <c r="E42" s="2" t="s">
        <v>70</v>
      </c>
      <c r="F42" s="2"/>
      <c r="G42" s="13" t="s">
        <v>2</v>
      </c>
      <c r="H42" s="2" t="s">
        <v>69</v>
      </c>
      <c r="I42" s="2" t="s">
        <v>70</v>
      </c>
      <c r="J42" s="12"/>
      <c r="K42" s="13" t="s">
        <v>2</v>
      </c>
      <c r="L42" s="2" t="s">
        <v>69</v>
      </c>
      <c r="M42" s="2" t="s">
        <v>70</v>
      </c>
      <c r="N42" s="2"/>
      <c r="O42" s="13" t="s">
        <v>2</v>
      </c>
      <c r="P42" s="2" t="s">
        <v>69</v>
      </c>
      <c r="Q42" s="2" t="s">
        <v>70</v>
      </c>
    </row>
    <row r="43" spans="1:22" s="195" customFormat="1" ht="25.5" hidden="1">
      <c r="A43" s="8"/>
      <c r="B43" s="5" t="s">
        <v>60</v>
      </c>
      <c r="C43" s="198">
        <v>1821</v>
      </c>
      <c r="D43" s="199">
        <v>0.5721496271817574</v>
      </c>
      <c r="E43" s="199">
        <v>0.5091696413320514</v>
      </c>
      <c r="F43" s="199"/>
      <c r="G43" s="198">
        <v>456</v>
      </c>
      <c r="H43" s="199">
        <v>0.7822767892153236</v>
      </c>
      <c r="I43" s="199">
        <v>0.7672495135295191</v>
      </c>
      <c r="J43" s="200"/>
      <c r="K43" s="198">
        <v>843</v>
      </c>
      <c r="L43" s="199">
        <v>0.5588619369458775</v>
      </c>
      <c r="M43" s="199">
        <v>0.5318611490882816</v>
      </c>
      <c r="N43" s="199"/>
      <c r="O43" s="198">
        <v>160</v>
      </c>
      <c r="P43" s="199">
        <v>0.8673826046299377</v>
      </c>
      <c r="Q43" s="199">
        <v>0.852789273519314</v>
      </c>
      <c r="R43" s="194"/>
      <c r="S43" s="194"/>
      <c r="T43" s="194"/>
      <c r="U43" s="194"/>
      <c r="V43" s="194"/>
    </row>
    <row r="44" spans="1:22" s="195" customFormat="1" ht="15.75" customHeight="1" hidden="1">
      <c r="A44" s="8"/>
      <c r="B44" s="16" t="s">
        <v>61</v>
      </c>
      <c r="C44" s="203">
        <v>979</v>
      </c>
      <c r="D44" s="204">
        <v>0.6905641904357145</v>
      </c>
      <c r="E44" s="204">
        <v>0.6028460239290402</v>
      </c>
      <c r="F44" s="204"/>
      <c r="G44" s="203" t="s">
        <v>71</v>
      </c>
      <c r="H44" s="203" t="s">
        <v>71</v>
      </c>
      <c r="I44" s="203" t="s">
        <v>71</v>
      </c>
      <c r="J44" s="220"/>
      <c r="K44" s="203">
        <v>292</v>
      </c>
      <c r="L44" s="204">
        <v>0.6416638833213865</v>
      </c>
      <c r="M44" s="204">
        <v>0.5877179962763636</v>
      </c>
      <c r="N44" s="204"/>
      <c r="O44" s="203" t="s">
        <v>71</v>
      </c>
      <c r="P44" s="203" t="s">
        <v>71</v>
      </c>
      <c r="Q44" s="203" t="s">
        <v>71</v>
      </c>
      <c r="R44" s="194"/>
      <c r="S44" s="194"/>
      <c r="T44" s="194"/>
      <c r="U44" s="194"/>
      <c r="V44" s="194"/>
    </row>
    <row r="45" spans="2:17" ht="38.25" hidden="1">
      <c r="B45" s="6" t="s">
        <v>62</v>
      </c>
      <c r="C45" s="209">
        <v>2050</v>
      </c>
      <c r="D45" s="214">
        <v>0.8316016257148124</v>
      </c>
      <c r="E45" s="214">
        <v>0.8104878826422252</v>
      </c>
      <c r="F45" s="214"/>
      <c r="G45" s="209">
        <v>365</v>
      </c>
      <c r="H45" s="214">
        <v>1.0863578311677247</v>
      </c>
      <c r="I45" s="214">
        <v>1.0124875950487189</v>
      </c>
      <c r="J45" s="222"/>
      <c r="K45" s="209">
        <v>866</v>
      </c>
      <c r="L45" s="214">
        <v>0.8139961528925101</v>
      </c>
      <c r="M45" s="214">
        <v>0.813152259990507</v>
      </c>
      <c r="N45" s="214"/>
      <c r="O45" s="209">
        <v>103</v>
      </c>
      <c r="P45" s="214">
        <v>0.8851350606964611</v>
      </c>
      <c r="Q45" s="214">
        <v>1.0366204847400522</v>
      </c>
    </row>
    <row r="46" spans="2:22" s="12" customFormat="1" ht="39.75" customHeight="1" hidden="1">
      <c r="B46" s="8"/>
      <c r="C46" s="196"/>
      <c r="D46" s="193"/>
      <c r="E46" s="193"/>
      <c r="F46" s="193"/>
      <c r="G46" s="196"/>
      <c r="H46" s="193"/>
      <c r="I46" s="193"/>
      <c r="J46" s="195"/>
      <c r="K46" s="196"/>
      <c r="L46" s="193"/>
      <c r="M46" s="193"/>
      <c r="N46" s="193"/>
      <c r="O46" s="196"/>
      <c r="P46" s="193"/>
      <c r="Q46" s="193"/>
      <c r="R46" s="47"/>
      <c r="S46" s="47"/>
      <c r="T46" s="47"/>
      <c r="U46" s="47"/>
      <c r="V46" s="47"/>
    </row>
    <row r="47" spans="1:22" s="195" customFormat="1" ht="25.5" customHeight="1" hidden="1">
      <c r="A47" s="15" t="s">
        <v>66</v>
      </c>
      <c r="B47" s="8"/>
      <c r="C47" s="196"/>
      <c r="D47" s="193"/>
      <c r="E47" s="193"/>
      <c r="F47" s="193"/>
      <c r="G47" s="196"/>
      <c r="H47" s="193"/>
      <c r="I47" s="193"/>
      <c r="K47" s="196"/>
      <c r="L47" s="193"/>
      <c r="M47" s="193"/>
      <c r="N47" s="193"/>
      <c r="O47" s="196"/>
      <c r="P47" s="193"/>
      <c r="Q47" s="193"/>
      <c r="R47" s="194"/>
      <c r="S47" s="194"/>
      <c r="T47" s="194"/>
      <c r="U47" s="194"/>
      <c r="V47" s="194"/>
    </row>
    <row r="48" spans="1:22" s="221" customFormat="1" ht="25.5" customHeight="1" hidden="1">
      <c r="A48" s="12"/>
      <c r="B48" s="8"/>
      <c r="C48" s="196"/>
      <c r="D48" s="193"/>
      <c r="E48" s="193"/>
      <c r="F48" s="193"/>
      <c r="G48" s="196"/>
      <c r="H48" s="193"/>
      <c r="I48" s="193"/>
      <c r="J48" s="195"/>
      <c r="K48" s="196"/>
      <c r="L48" s="193"/>
      <c r="M48" s="193"/>
      <c r="N48" s="193"/>
      <c r="O48" s="196"/>
      <c r="P48" s="193"/>
      <c r="Q48" s="193"/>
      <c r="R48" s="220"/>
      <c r="S48" s="220"/>
      <c r="T48" s="220"/>
      <c r="U48" s="220"/>
      <c r="V48" s="220"/>
    </row>
    <row r="49" spans="1:22" s="221" customFormat="1" ht="39.75" customHeight="1" hidden="1">
      <c r="A49" s="12"/>
      <c r="B49" s="8"/>
      <c r="C49" s="196"/>
      <c r="D49" s="193"/>
      <c r="E49" s="193"/>
      <c r="F49" s="193"/>
      <c r="G49" s="196"/>
      <c r="H49" s="193"/>
      <c r="I49" s="193"/>
      <c r="J49" s="195"/>
      <c r="K49" s="196"/>
      <c r="L49" s="193"/>
      <c r="M49" s="193"/>
      <c r="N49" s="193"/>
      <c r="O49" s="196"/>
      <c r="P49" s="193"/>
      <c r="Q49" s="193"/>
      <c r="R49" s="220"/>
      <c r="S49" s="220"/>
      <c r="T49" s="220"/>
      <c r="U49" s="220"/>
      <c r="V49" s="220"/>
    </row>
    <row r="50" spans="1:22" s="195" customFormat="1" ht="12.75">
      <c r="A50" s="8"/>
      <c r="B50" s="8"/>
      <c r="C50" s="196"/>
      <c r="D50" s="193"/>
      <c r="E50" s="193"/>
      <c r="F50" s="193"/>
      <c r="G50" s="196"/>
      <c r="H50" s="193"/>
      <c r="I50" s="193"/>
      <c r="K50" s="196"/>
      <c r="L50" s="193"/>
      <c r="M50" s="193"/>
      <c r="N50" s="193"/>
      <c r="O50" s="196"/>
      <c r="P50" s="193"/>
      <c r="Q50" s="193"/>
      <c r="R50" s="194"/>
      <c r="S50" s="194"/>
      <c r="T50" s="194"/>
      <c r="U50" s="194"/>
      <c r="V50" s="194"/>
    </row>
    <row r="51" spans="1:22" s="195" customFormat="1" ht="12.75">
      <c r="A51" s="8"/>
      <c r="B51" s="8"/>
      <c r="C51" s="196"/>
      <c r="D51" s="193"/>
      <c r="E51" s="193"/>
      <c r="F51" s="193"/>
      <c r="G51" s="196"/>
      <c r="H51" s="193"/>
      <c r="I51" s="193"/>
      <c r="K51" s="196"/>
      <c r="L51" s="193"/>
      <c r="M51" s="193"/>
      <c r="N51" s="193"/>
      <c r="O51" s="196"/>
      <c r="P51" s="193"/>
      <c r="Q51" s="193"/>
      <c r="R51" s="194"/>
      <c r="S51" s="194"/>
      <c r="T51" s="194"/>
      <c r="U51" s="194"/>
      <c r="V51" s="194"/>
    </row>
    <row r="52" spans="1:22" s="195" customFormat="1" ht="12.75">
      <c r="A52" s="8"/>
      <c r="B52" s="8"/>
      <c r="C52" s="196"/>
      <c r="D52" s="193"/>
      <c r="E52" s="193"/>
      <c r="F52" s="193"/>
      <c r="G52" s="196"/>
      <c r="H52" s="193"/>
      <c r="I52" s="193"/>
      <c r="K52" s="196"/>
      <c r="L52" s="193"/>
      <c r="M52" s="193"/>
      <c r="N52" s="193"/>
      <c r="O52" s="196"/>
      <c r="P52" s="193"/>
      <c r="Q52" s="193"/>
      <c r="R52" s="194"/>
      <c r="S52" s="194"/>
      <c r="T52" s="194"/>
      <c r="U52" s="194"/>
      <c r="V52" s="194"/>
    </row>
    <row r="53" spans="1:22" s="195" customFormat="1" ht="12.75">
      <c r="A53" s="8"/>
      <c r="B53" s="8"/>
      <c r="C53" s="196"/>
      <c r="D53" s="193"/>
      <c r="E53" s="193"/>
      <c r="F53" s="193"/>
      <c r="G53" s="196"/>
      <c r="H53" s="193"/>
      <c r="I53" s="193"/>
      <c r="K53" s="196"/>
      <c r="L53" s="193"/>
      <c r="M53" s="193"/>
      <c r="N53" s="193"/>
      <c r="O53" s="196"/>
      <c r="P53" s="193"/>
      <c r="Q53" s="193"/>
      <c r="R53" s="194"/>
      <c r="S53" s="194"/>
      <c r="T53" s="194"/>
      <c r="U53" s="194"/>
      <c r="V53" s="194"/>
    </row>
    <row r="54" spans="1:22" s="195" customFormat="1" ht="12.75">
      <c r="A54" s="8"/>
      <c r="B54" s="8"/>
      <c r="C54" s="196"/>
      <c r="D54" s="193"/>
      <c r="E54" s="193"/>
      <c r="F54" s="193"/>
      <c r="G54" s="196"/>
      <c r="H54" s="193"/>
      <c r="I54" s="193"/>
      <c r="K54" s="196"/>
      <c r="L54" s="193"/>
      <c r="M54" s="193"/>
      <c r="N54" s="193"/>
      <c r="O54" s="196"/>
      <c r="P54" s="193"/>
      <c r="Q54" s="193"/>
      <c r="R54" s="194"/>
      <c r="S54" s="194"/>
      <c r="T54" s="194"/>
      <c r="U54" s="194"/>
      <c r="V54" s="194"/>
    </row>
    <row r="55" spans="1:22" s="195" customFormat="1" ht="12.75">
      <c r="A55" s="8"/>
      <c r="B55" s="8"/>
      <c r="C55" s="196"/>
      <c r="D55" s="193"/>
      <c r="E55" s="193"/>
      <c r="F55" s="193"/>
      <c r="G55" s="196"/>
      <c r="H55" s="193"/>
      <c r="I55" s="193"/>
      <c r="K55" s="196"/>
      <c r="L55" s="193"/>
      <c r="M55" s="193"/>
      <c r="N55" s="193"/>
      <c r="O55" s="196"/>
      <c r="P55" s="193"/>
      <c r="Q55" s="193"/>
      <c r="R55" s="194"/>
      <c r="S55" s="194"/>
      <c r="T55" s="194"/>
      <c r="U55" s="194"/>
      <c r="V55" s="194"/>
    </row>
    <row r="56" spans="1:22" s="195" customFormat="1" ht="12.75">
      <c r="A56" s="8"/>
      <c r="B56" s="8"/>
      <c r="C56" s="196"/>
      <c r="D56" s="193"/>
      <c r="E56" s="193"/>
      <c r="F56" s="193"/>
      <c r="G56" s="196"/>
      <c r="H56" s="193"/>
      <c r="I56" s="193"/>
      <c r="K56" s="196"/>
      <c r="L56" s="193"/>
      <c r="M56" s="193"/>
      <c r="N56" s="193"/>
      <c r="O56" s="196"/>
      <c r="P56" s="193"/>
      <c r="Q56" s="193"/>
      <c r="R56" s="194"/>
      <c r="S56" s="194"/>
      <c r="T56" s="194"/>
      <c r="U56" s="194"/>
      <c r="V56" s="194"/>
    </row>
    <row r="57" spans="1:22" s="195" customFormat="1" ht="12.75">
      <c r="A57" s="8"/>
      <c r="B57" s="8"/>
      <c r="C57" s="196"/>
      <c r="D57" s="193"/>
      <c r="E57" s="193"/>
      <c r="F57" s="193"/>
      <c r="G57" s="196"/>
      <c r="H57" s="193"/>
      <c r="I57" s="193"/>
      <c r="K57" s="196"/>
      <c r="L57" s="193"/>
      <c r="M57" s="193"/>
      <c r="N57" s="193"/>
      <c r="O57" s="196"/>
      <c r="P57" s="193"/>
      <c r="Q57" s="193"/>
      <c r="R57" s="194"/>
      <c r="S57" s="194"/>
      <c r="T57" s="194"/>
      <c r="U57" s="194"/>
      <c r="V57" s="194"/>
    </row>
    <row r="58" spans="1:22" s="195" customFormat="1" ht="12.75">
      <c r="A58" s="8"/>
      <c r="B58" s="8"/>
      <c r="C58" s="196"/>
      <c r="D58" s="193"/>
      <c r="E58" s="193"/>
      <c r="F58" s="193"/>
      <c r="G58" s="196"/>
      <c r="H58" s="193"/>
      <c r="I58" s="193"/>
      <c r="K58" s="196"/>
      <c r="L58" s="193"/>
      <c r="M58" s="193"/>
      <c r="N58" s="193"/>
      <c r="O58" s="196"/>
      <c r="P58" s="193"/>
      <c r="Q58" s="193"/>
      <c r="R58" s="194"/>
      <c r="S58" s="194"/>
      <c r="T58" s="194"/>
      <c r="U58" s="194"/>
      <c r="V58" s="194"/>
    </row>
    <row r="59" spans="1:22" s="195" customFormat="1" ht="12.75">
      <c r="A59" s="8"/>
      <c r="B59" s="8"/>
      <c r="C59" s="196"/>
      <c r="D59" s="193"/>
      <c r="E59" s="193"/>
      <c r="F59" s="193"/>
      <c r="G59" s="196"/>
      <c r="H59" s="193"/>
      <c r="I59" s="193"/>
      <c r="K59" s="196"/>
      <c r="L59" s="193"/>
      <c r="M59" s="193"/>
      <c r="N59" s="193"/>
      <c r="O59" s="196"/>
      <c r="P59" s="193"/>
      <c r="Q59" s="193"/>
      <c r="R59" s="194"/>
      <c r="S59" s="194"/>
      <c r="T59" s="194"/>
      <c r="U59" s="194"/>
      <c r="V59" s="194"/>
    </row>
    <row r="60" spans="1:22" s="195" customFormat="1" ht="12.75">
      <c r="A60" s="8"/>
      <c r="B60" s="8"/>
      <c r="C60" s="196"/>
      <c r="D60" s="193"/>
      <c r="E60" s="193"/>
      <c r="F60" s="193"/>
      <c r="G60" s="196"/>
      <c r="H60" s="193"/>
      <c r="I60" s="193"/>
      <c r="K60" s="196"/>
      <c r="L60" s="193"/>
      <c r="M60" s="193"/>
      <c r="N60" s="193"/>
      <c r="O60" s="196"/>
      <c r="P60" s="193"/>
      <c r="Q60" s="193"/>
      <c r="R60" s="194"/>
      <c r="S60" s="194"/>
      <c r="T60" s="194"/>
      <c r="U60" s="194"/>
      <c r="V60" s="194"/>
    </row>
    <row r="61" spans="1:22" s="195" customFormat="1" ht="12.75">
      <c r="A61" s="8"/>
      <c r="B61" s="8"/>
      <c r="C61" s="196"/>
      <c r="D61" s="193"/>
      <c r="E61" s="193"/>
      <c r="F61" s="193"/>
      <c r="G61" s="196"/>
      <c r="H61" s="193"/>
      <c r="I61" s="193"/>
      <c r="K61" s="196"/>
      <c r="L61" s="193"/>
      <c r="M61" s="193"/>
      <c r="N61" s="193"/>
      <c r="O61" s="196"/>
      <c r="P61" s="193"/>
      <c r="Q61" s="193"/>
      <c r="R61" s="194"/>
      <c r="S61" s="194"/>
      <c r="T61" s="194"/>
      <c r="U61" s="194"/>
      <c r="V61" s="194"/>
    </row>
    <row r="62" spans="1:22" s="195" customFormat="1" ht="12.75">
      <c r="A62" s="8"/>
      <c r="B62" s="8"/>
      <c r="C62" s="196"/>
      <c r="D62" s="193"/>
      <c r="E62" s="193"/>
      <c r="F62" s="193"/>
      <c r="G62" s="196"/>
      <c r="H62" s="193"/>
      <c r="I62" s="193"/>
      <c r="K62" s="196"/>
      <c r="L62" s="193"/>
      <c r="M62" s="193"/>
      <c r="N62" s="193"/>
      <c r="O62" s="196"/>
      <c r="P62" s="193"/>
      <c r="Q62" s="193"/>
      <c r="R62" s="194"/>
      <c r="S62" s="194"/>
      <c r="T62" s="194"/>
      <c r="U62" s="194"/>
      <c r="V62" s="194"/>
    </row>
    <row r="63" spans="1:22" s="195" customFormat="1" ht="12.75">
      <c r="A63" s="8"/>
      <c r="B63" s="8"/>
      <c r="C63" s="196"/>
      <c r="D63" s="193"/>
      <c r="E63" s="193"/>
      <c r="F63" s="193"/>
      <c r="G63" s="196"/>
      <c r="H63" s="193"/>
      <c r="I63" s="193"/>
      <c r="K63" s="196"/>
      <c r="L63" s="193"/>
      <c r="M63" s="193"/>
      <c r="N63" s="193"/>
      <c r="O63" s="196"/>
      <c r="P63" s="193"/>
      <c r="Q63" s="193"/>
      <c r="R63" s="194"/>
      <c r="S63" s="194"/>
      <c r="T63" s="194"/>
      <c r="U63" s="194"/>
      <c r="V63" s="194"/>
    </row>
    <row r="64" spans="1:22" s="195" customFormat="1" ht="12.75">
      <c r="A64" s="8"/>
      <c r="B64" s="8"/>
      <c r="C64" s="196"/>
      <c r="D64" s="193"/>
      <c r="E64" s="193"/>
      <c r="F64" s="193"/>
      <c r="G64" s="196"/>
      <c r="H64" s="193"/>
      <c r="I64" s="193"/>
      <c r="K64" s="196"/>
      <c r="L64" s="193"/>
      <c r="M64" s="193"/>
      <c r="N64" s="193"/>
      <c r="O64" s="196"/>
      <c r="P64" s="193"/>
      <c r="Q64" s="193"/>
      <c r="R64" s="194"/>
      <c r="S64" s="194"/>
      <c r="T64" s="194"/>
      <c r="U64" s="194"/>
      <c r="V64" s="194"/>
    </row>
    <row r="65" spans="1:22" s="195" customFormat="1" ht="12.75">
      <c r="A65" s="8"/>
      <c r="B65" s="8"/>
      <c r="C65" s="196"/>
      <c r="D65" s="193"/>
      <c r="E65" s="193"/>
      <c r="F65" s="193"/>
      <c r="G65" s="196"/>
      <c r="H65" s="193"/>
      <c r="I65" s="193"/>
      <c r="K65" s="196"/>
      <c r="L65" s="193"/>
      <c r="M65" s="193"/>
      <c r="N65" s="193"/>
      <c r="O65" s="196"/>
      <c r="P65" s="193"/>
      <c r="Q65" s="193"/>
      <c r="R65" s="194"/>
      <c r="S65" s="194"/>
      <c r="T65" s="194"/>
      <c r="U65" s="194"/>
      <c r="V65" s="194"/>
    </row>
    <row r="66" spans="1:22" s="195" customFormat="1" ht="12.75">
      <c r="A66" s="8"/>
      <c r="B66" s="8"/>
      <c r="C66" s="196"/>
      <c r="D66" s="193"/>
      <c r="E66" s="193"/>
      <c r="F66" s="193"/>
      <c r="G66" s="196"/>
      <c r="H66" s="193"/>
      <c r="I66" s="193"/>
      <c r="K66" s="196"/>
      <c r="L66" s="193"/>
      <c r="M66" s="193"/>
      <c r="N66" s="193"/>
      <c r="O66" s="196"/>
      <c r="P66" s="193"/>
      <c r="Q66" s="193"/>
      <c r="R66" s="194"/>
      <c r="S66" s="194"/>
      <c r="T66" s="194"/>
      <c r="U66" s="194"/>
      <c r="V66" s="194"/>
    </row>
    <row r="67" spans="1:22" s="195" customFormat="1" ht="12.75">
      <c r="A67" s="8"/>
      <c r="B67" s="8"/>
      <c r="C67" s="184"/>
      <c r="D67" s="185"/>
      <c r="E67" s="185"/>
      <c r="F67" s="185"/>
      <c r="G67" s="187"/>
      <c r="H67" s="188"/>
      <c r="I67" s="188"/>
      <c r="J67" s="186"/>
      <c r="K67" s="187"/>
      <c r="L67" s="188"/>
      <c r="M67" s="188"/>
      <c r="N67" s="188"/>
      <c r="O67" s="187"/>
      <c r="P67" s="188"/>
      <c r="Q67" s="188"/>
      <c r="R67" s="194"/>
      <c r="S67" s="194"/>
      <c r="T67" s="194"/>
      <c r="U67" s="194"/>
      <c r="V67" s="194"/>
    </row>
    <row r="68" spans="1:22" s="195" customFormat="1" ht="12.75">
      <c r="A68" s="8"/>
      <c r="B68" s="8"/>
      <c r="C68" s="184"/>
      <c r="D68" s="185"/>
      <c r="E68" s="185"/>
      <c r="F68" s="185"/>
      <c r="G68" s="187"/>
      <c r="H68" s="188"/>
      <c r="I68" s="188"/>
      <c r="J68" s="186"/>
      <c r="K68" s="187"/>
      <c r="L68" s="188"/>
      <c r="M68" s="188"/>
      <c r="N68" s="188"/>
      <c r="O68" s="187"/>
      <c r="P68" s="188"/>
      <c r="Q68" s="188"/>
      <c r="R68" s="194"/>
      <c r="S68" s="194"/>
      <c r="T68" s="194"/>
      <c r="U68" s="194"/>
      <c r="V68" s="194"/>
    </row>
    <row r="69" spans="1:22" s="195" customFormat="1" ht="12.75">
      <c r="A69" s="8"/>
      <c r="B69" s="8"/>
      <c r="C69" s="184"/>
      <c r="D69" s="185"/>
      <c r="E69" s="185"/>
      <c r="F69" s="185"/>
      <c r="G69" s="187"/>
      <c r="H69" s="188"/>
      <c r="I69" s="188"/>
      <c r="J69" s="186"/>
      <c r="K69" s="187"/>
      <c r="L69" s="188"/>
      <c r="M69" s="188"/>
      <c r="N69" s="188"/>
      <c r="O69" s="187"/>
      <c r="P69" s="188"/>
      <c r="Q69" s="188"/>
      <c r="R69" s="194"/>
      <c r="S69" s="194"/>
      <c r="T69" s="194"/>
      <c r="U69" s="194"/>
      <c r="V69" s="194"/>
    </row>
    <row r="70" spans="1:22" s="195" customFormat="1" ht="12.75">
      <c r="A70" s="8"/>
      <c r="B70" s="8"/>
      <c r="C70" s="184"/>
      <c r="D70" s="185"/>
      <c r="E70" s="185"/>
      <c r="F70" s="185"/>
      <c r="G70" s="187"/>
      <c r="H70" s="188"/>
      <c r="I70" s="188"/>
      <c r="J70" s="186"/>
      <c r="K70" s="187"/>
      <c r="L70" s="188"/>
      <c r="M70" s="188"/>
      <c r="N70" s="188"/>
      <c r="O70" s="187"/>
      <c r="P70" s="188"/>
      <c r="Q70" s="188"/>
      <c r="R70" s="194"/>
      <c r="S70" s="194"/>
      <c r="T70" s="194"/>
      <c r="U70" s="194"/>
      <c r="V70" s="194"/>
    </row>
  </sheetData>
  <sheetProtection/>
  <mergeCells count="11">
    <mergeCell ref="O41:Q41"/>
    <mergeCell ref="C6:E6"/>
    <mergeCell ref="G6:I6"/>
    <mergeCell ref="K6:M6"/>
    <mergeCell ref="O6:Q6"/>
    <mergeCell ref="H1:L1"/>
    <mergeCell ref="H3:L3"/>
    <mergeCell ref="H5:L5"/>
    <mergeCell ref="C41:E41"/>
    <mergeCell ref="G41:I41"/>
    <mergeCell ref="K41:M41"/>
  </mergeCells>
  <printOptions/>
  <pageMargins left="0.75" right="0.75" top="1" bottom="1" header="0.5" footer="0.5"/>
  <pageSetup horizontalDpi="600" verticalDpi="600" orientation="landscape" scale="66" r:id="rId1"/>
  <headerFooter alignWithMargins="0">
    <oddFooter>&amp;L"&amp;F"&amp;R&amp;"Arial,Italic"&amp;A</oddFooter>
  </headerFooter>
  <rowBreaks count="1" manualBreakCount="1">
    <brk id="40" max="255" man="1"/>
  </rowBreaks>
</worksheet>
</file>

<file path=xl/worksheets/sheet30.xml><?xml version="1.0" encoding="utf-8"?>
<worksheet xmlns="http://schemas.openxmlformats.org/spreadsheetml/2006/main" xmlns:r="http://schemas.openxmlformats.org/officeDocument/2006/relationships">
  <dimension ref="A1:S70"/>
  <sheetViews>
    <sheetView zoomScale="85" zoomScaleNormal="85" zoomScaleSheetLayoutView="70" zoomScalePageLayoutView="0" workbookViewId="0" topLeftCell="A1">
      <selection activeCell="L30" sqref="L30"/>
    </sheetView>
  </sheetViews>
  <sheetFormatPr defaultColWidth="9.140625" defaultRowHeight="12.75"/>
  <cols>
    <col min="1" max="1" width="3.7109375" style="186" customWidth="1"/>
    <col min="2" max="2" width="23.421875" style="186" bestFit="1" customWidth="1"/>
    <col min="3" max="3" width="25.7109375" style="186" bestFit="1" customWidth="1"/>
    <col min="4" max="4" width="12.8515625" style="186" customWidth="1"/>
    <col min="5" max="5" width="13.00390625" style="186" bestFit="1" customWidth="1"/>
    <col min="6" max="6" width="11.421875" style="186" bestFit="1" customWidth="1"/>
    <col min="7" max="7" width="10.140625" style="186" bestFit="1" customWidth="1"/>
    <col min="8" max="8" width="16.00390625" style="186" bestFit="1" customWidth="1"/>
    <col min="9" max="9" width="11.8515625" style="186" customWidth="1"/>
    <col min="10" max="10" width="5.00390625" style="186" customWidth="1"/>
    <col min="11" max="11" width="10.7109375" style="186" bestFit="1" customWidth="1"/>
    <col min="12" max="12" width="25.7109375" style="186" bestFit="1" customWidth="1"/>
    <col min="13" max="13" width="11.7109375" style="186" bestFit="1" customWidth="1"/>
    <col min="14" max="14" width="13.00390625" style="186" bestFit="1" customWidth="1"/>
    <col min="15" max="15" width="11.421875" style="186" bestFit="1" customWidth="1"/>
    <col min="16" max="16" width="10.140625" style="186" bestFit="1" customWidth="1"/>
    <col min="17" max="17" width="16.00390625" style="186" bestFit="1" customWidth="1"/>
    <col min="18" max="18" width="9.00390625" style="186" bestFit="1" customWidth="1"/>
    <col min="19" max="19" width="3.57421875" style="186" customWidth="1"/>
    <col min="20" max="16384" width="9.140625" style="186" customWidth="1"/>
  </cols>
  <sheetData>
    <row r="1" spans="1:18" ht="15.75">
      <c r="A1" s="683" t="s">
        <v>167</v>
      </c>
      <c r="B1" s="683"/>
      <c r="C1" s="683"/>
      <c r="D1" s="683"/>
      <c r="E1" s="683"/>
      <c r="F1" s="683"/>
      <c r="G1" s="683"/>
      <c r="H1" s="683"/>
      <c r="I1" s="683"/>
      <c r="J1" s="683"/>
      <c r="K1" s="683"/>
      <c r="L1" s="683"/>
      <c r="M1" s="683"/>
      <c r="N1" s="683"/>
      <c r="O1" s="683"/>
      <c r="P1" s="683"/>
      <c r="Q1" s="683"/>
      <c r="R1" s="683"/>
    </row>
    <row r="2" spans="1:18" ht="18">
      <c r="A2" s="751" t="s">
        <v>80</v>
      </c>
      <c r="B2" s="751"/>
      <c r="C2" s="751"/>
      <c r="D2" s="751"/>
      <c r="E2" s="751"/>
      <c r="F2" s="751"/>
      <c r="G2" s="751"/>
      <c r="H2" s="751"/>
      <c r="I2" s="751"/>
      <c r="J2" s="751"/>
      <c r="K2" s="751"/>
      <c r="L2" s="751"/>
      <c r="M2" s="751"/>
      <c r="N2" s="751"/>
      <c r="O2" s="751"/>
      <c r="P2" s="751"/>
      <c r="Q2" s="751"/>
      <c r="R2" s="751"/>
    </row>
    <row r="3" spans="1:18" ht="15.75" customHeight="1">
      <c r="A3" s="750" t="s">
        <v>1</v>
      </c>
      <c r="B3" s="750"/>
      <c r="C3" s="750"/>
      <c r="D3" s="750"/>
      <c r="E3" s="750"/>
      <c r="F3" s="750"/>
      <c r="G3" s="750"/>
      <c r="H3" s="750"/>
      <c r="I3" s="750"/>
      <c r="J3" s="750"/>
      <c r="K3" s="750"/>
      <c r="L3" s="750"/>
      <c r="M3" s="750"/>
      <c r="N3" s="750"/>
      <c r="O3" s="750"/>
      <c r="P3" s="750"/>
      <c r="Q3" s="750"/>
      <c r="R3" s="750"/>
    </row>
    <row r="4" spans="1:18" ht="15.75" customHeight="1">
      <c r="A4" s="750" t="s">
        <v>168</v>
      </c>
      <c r="B4" s="750"/>
      <c r="C4" s="750"/>
      <c r="D4" s="750"/>
      <c r="E4" s="750"/>
      <c r="F4" s="750"/>
      <c r="G4" s="750"/>
      <c r="H4" s="750"/>
      <c r="I4" s="750"/>
      <c r="J4" s="750"/>
      <c r="K4" s="750"/>
      <c r="L4" s="750"/>
      <c r="M4" s="750"/>
      <c r="N4" s="750"/>
      <c r="O4" s="750"/>
      <c r="P4" s="750"/>
      <c r="Q4" s="750"/>
      <c r="R4" s="750"/>
    </row>
    <row r="5" spans="1:18" ht="15" customHeight="1">
      <c r="A5" s="749" t="s">
        <v>100</v>
      </c>
      <c r="B5" s="749"/>
      <c r="C5" s="749"/>
      <c r="D5" s="749"/>
      <c r="E5" s="749"/>
      <c r="F5" s="749"/>
      <c r="G5" s="749"/>
      <c r="H5" s="749"/>
      <c r="I5" s="749"/>
      <c r="J5" s="749"/>
      <c r="K5" s="749"/>
      <c r="L5" s="749"/>
      <c r="M5" s="749"/>
      <c r="N5" s="749"/>
      <c r="O5" s="749"/>
      <c r="P5" s="749"/>
      <c r="Q5" s="749"/>
      <c r="R5" s="749"/>
    </row>
    <row r="6" spans="1:18" ht="10.5" customHeight="1">
      <c r="A6" s="759" t="s">
        <v>184</v>
      </c>
      <c r="B6" s="759"/>
      <c r="C6" s="759"/>
      <c r="D6" s="759"/>
      <c r="E6" s="759"/>
      <c r="F6" s="759"/>
      <c r="G6" s="759"/>
      <c r="H6" s="759"/>
      <c r="I6" s="759"/>
      <c r="J6" s="759"/>
      <c r="K6" s="759"/>
      <c r="L6" s="759"/>
      <c r="M6" s="759"/>
      <c r="N6" s="759"/>
      <c r="O6" s="759"/>
      <c r="P6" s="759"/>
      <c r="Q6" s="759"/>
      <c r="R6" s="759"/>
    </row>
    <row r="7" spans="2:18" ht="15" customHeight="1">
      <c r="B7" s="39"/>
      <c r="C7" s="758" t="s">
        <v>259</v>
      </c>
      <c r="D7" s="758"/>
      <c r="E7" s="758"/>
      <c r="F7" s="758"/>
      <c r="G7" s="758"/>
      <c r="H7" s="758"/>
      <c r="I7" s="758"/>
      <c r="J7" s="55"/>
      <c r="K7" s="39"/>
      <c r="L7" s="758" t="s">
        <v>259</v>
      </c>
      <c r="M7" s="758"/>
      <c r="N7" s="758"/>
      <c r="O7" s="758"/>
      <c r="P7" s="758"/>
      <c r="Q7" s="758"/>
      <c r="R7" s="758"/>
    </row>
    <row r="8" spans="2:18" ht="12.75">
      <c r="B8" s="41"/>
      <c r="C8" s="756" t="s">
        <v>166</v>
      </c>
      <c r="D8" s="757"/>
      <c r="E8" s="757"/>
      <c r="F8" s="757"/>
      <c r="G8" s="757"/>
      <c r="H8" s="757"/>
      <c r="I8" s="92"/>
      <c r="J8" s="56"/>
      <c r="K8" s="41"/>
      <c r="L8" s="756" t="s">
        <v>166</v>
      </c>
      <c r="M8" s="757"/>
      <c r="N8" s="757"/>
      <c r="O8" s="757"/>
      <c r="P8" s="757"/>
      <c r="Q8" s="757"/>
      <c r="R8" s="92"/>
    </row>
    <row r="9" spans="2:18" ht="33" customHeight="1">
      <c r="B9" s="42" t="s">
        <v>203</v>
      </c>
      <c r="C9" s="95" t="s">
        <v>153</v>
      </c>
      <c r="D9" s="59" t="s">
        <v>154</v>
      </c>
      <c r="E9" s="59" t="s">
        <v>155</v>
      </c>
      <c r="F9" s="59" t="s">
        <v>156</v>
      </c>
      <c r="G9" s="59" t="s">
        <v>157</v>
      </c>
      <c r="H9" s="59" t="s">
        <v>158</v>
      </c>
      <c r="I9" s="117" t="s">
        <v>122</v>
      </c>
      <c r="J9" s="91"/>
      <c r="K9" s="42" t="s">
        <v>28</v>
      </c>
      <c r="L9" s="95" t="s">
        <v>153</v>
      </c>
      <c r="M9" s="59" t="s">
        <v>154</v>
      </c>
      <c r="N9" s="59" t="s">
        <v>155</v>
      </c>
      <c r="O9" s="59" t="s">
        <v>156</v>
      </c>
      <c r="P9" s="59" t="s">
        <v>157</v>
      </c>
      <c r="Q9" s="59" t="s">
        <v>158</v>
      </c>
      <c r="R9" s="117" t="s">
        <v>122</v>
      </c>
    </row>
    <row r="10" spans="2:18" ht="12.75">
      <c r="B10" s="89" t="s">
        <v>159</v>
      </c>
      <c r="C10" s="318">
        <v>0.48176571893986353</v>
      </c>
      <c r="D10" s="319">
        <v>1.0101369306153651</v>
      </c>
      <c r="E10" s="319">
        <v>0.9719326726546872</v>
      </c>
      <c r="F10" s="319">
        <v>0.9041245029856665</v>
      </c>
      <c r="G10" s="319">
        <v>0.9171064928693399</v>
      </c>
      <c r="H10" s="320">
        <v>0</v>
      </c>
      <c r="I10" s="321">
        <v>0.9672907504938084</v>
      </c>
      <c r="J10" s="319"/>
      <c r="K10" s="89" t="s">
        <v>115</v>
      </c>
      <c r="L10" s="318">
        <v>0.3075796025204492</v>
      </c>
      <c r="M10" s="319">
        <v>0.5222025677221244</v>
      </c>
      <c r="N10" s="319">
        <v>0.8401723068365442</v>
      </c>
      <c r="O10" s="319">
        <v>0.49501770309769</v>
      </c>
      <c r="P10" s="319">
        <v>0.5427185067644673</v>
      </c>
      <c r="Q10" s="320">
        <v>0.8108511509769576</v>
      </c>
      <c r="R10" s="321">
        <v>0.5246097693028663</v>
      </c>
    </row>
    <row r="11" spans="2:18" ht="3.75" customHeight="1">
      <c r="B11" s="90"/>
      <c r="C11" s="318"/>
      <c r="D11" s="319"/>
      <c r="E11" s="319"/>
      <c r="F11" s="319"/>
      <c r="G11" s="319"/>
      <c r="H11" s="320"/>
      <c r="I11" s="322"/>
      <c r="J11" s="319"/>
      <c r="K11" s="90"/>
      <c r="L11" s="318"/>
      <c r="M11" s="319"/>
      <c r="N11" s="319"/>
      <c r="O11" s="319"/>
      <c r="P11" s="319"/>
      <c r="Q11" s="320"/>
      <c r="R11" s="322"/>
    </row>
    <row r="12" spans="2:18" ht="12.75">
      <c r="B12" s="89" t="s">
        <v>160</v>
      </c>
      <c r="C12" s="318">
        <v>0.5096360417746726</v>
      </c>
      <c r="D12" s="319">
        <v>0.9026226598053547</v>
      </c>
      <c r="E12" s="319">
        <v>0.8877556677605083</v>
      </c>
      <c r="F12" s="319">
        <v>0.8765976413985305</v>
      </c>
      <c r="G12" s="319">
        <v>0.8174322365572008</v>
      </c>
      <c r="H12" s="320">
        <v>1.3364185142498224</v>
      </c>
      <c r="I12" s="322">
        <v>0.8836211328531681</v>
      </c>
      <c r="J12" s="319"/>
      <c r="K12" s="89" t="s">
        <v>116</v>
      </c>
      <c r="L12" s="318">
        <v>0.32406573698695584</v>
      </c>
      <c r="M12" s="319">
        <v>0.6194928951237318</v>
      </c>
      <c r="N12" s="319">
        <v>0.669163179482793</v>
      </c>
      <c r="O12" s="319">
        <v>0.5147424913662866</v>
      </c>
      <c r="P12" s="319">
        <v>0.50328065743684</v>
      </c>
      <c r="Q12" s="320">
        <v>0.4138409143177328</v>
      </c>
      <c r="R12" s="322">
        <v>0.5694301452492525</v>
      </c>
    </row>
    <row r="13" spans="2:18" ht="3.75" customHeight="1">
      <c r="B13" s="90"/>
      <c r="C13" s="318"/>
      <c r="D13" s="319"/>
      <c r="E13" s="319"/>
      <c r="F13" s="319"/>
      <c r="G13" s="319"/>
      <c r="H13" s="320"/>
      <c r="I13" s="322"/>
      <c r="J13" s="319"/>
      <c r="K13" s="90"/>
      <c r="L13" s="318"/>
      <c r="M13" s="319"/>
      <c r="N13" s="319"/>
      <c r="O13" s="319"/>
      <c r="P13" s="319"/>
      <c r="Q13" s="320"/>
      <c r="R13" s="322"/>
    </row>
    <row r="14" spans="2:18" ht="12.75">
      <c r="B14" s="89" t="s">
        <v>161</v>
      </c>
      <c r="C14" s="318">
        <v>0.427709682684604</v>
      </c>
      <c r="D14" s="319">
        <v>0.8598730371108408</v>
      </c>
      <c r="E14" s="319">
        <v>0.7880541263196812</v>
      </c>
      <c r="F14" s="319">
        <v>0.870590552368222</v>
      </c>
      <c r="G14" s="319">
        <v>0.7719839721745029</v>
      </c>
      <c r="H14" s="320">
        <v>0.6449425114018981</v>
      </c>
      <c r="I14" s="322">
        <v>0.8152151191778436</v>
      </c>
      <c r="J14" s="319"/>
      <c r="K14" s="89" t="s">
        <v>117</v>
      </c>
      <c r="L14" s="318">
        <v>0.7579670949652482</v>
      </c>
      <c r="M14" s="319">
        <v>0.7050747109825283</v>
      </c>
      <c r="N14" s="319">
        <v>0.7570751844354967</v>
      </c>
      <c r="O14" s="319">
        <v>0.654974174845712</v>
      </c>
      <c r="P14" s="319">
        <v>0.846884372090607</v>
      </c>
      <c r="Q14" s="320">
        <v>0.8801716878175422</v>
      </c>
      <c r="R14" s="322">
        <v>0.707357619966465</v>
      </c>
    </row>
    <row r="15" spans="2:18" ht="3.75" customHeight="1">
      <c r="B15" s="90"/>
      <c r="C15" s="318"/>
      <c r="D15" s="319"/>
      <c r="E15" s="319"/>
      <c r="F15" s="319"/>
      <c r="G15" s="319"/>
      <c r="H15" s="320"/>
      <c r="I15" s="322"/>
      <c r="J15" s="319"/>
      <c r="K15" s="90"/>
      <c r="L15" s="318"/>
      <c r="M15" s="319"/>
      <c r="N15" s="319"/>
      <c r="O15" s="319"/>
      <c r="P15" s="319"/>
      <c r="Q15" s="320"/>
      <c r="R15" s="322"/>
    </row>
    <row r="16" spans="2:18" ht="12.75">
      <c r="B16" s="89" t="s">
        <v>162</v>
      </c>
      <c r="C16" s="318">
        <v>0.41231441719756284</v>
      </c>
      <c r="D16" s="319">
        <v>0.8424488034657183</v>
      </c>
      <c r="E16" s="319">
        <v>0.7079526724685813</v>
      </c>
      <c r="F16" s="319">
        <v>0.7686387371467492</v>
      </c>
      <c r="G16" s="319">
        <v>0.7451084945910669</v>
      </c>
      <c r="H16" s="320">
        <v>0.7490563882557015</v>
      </c>
      <c r="I16" s="322">
        <v>0.752647401090136</v>
      </c>
      <c r="J16" s="319"/>
      <c r="K16" s="89" t="s">
        <v>118</v>
      </c>
      <c r="L16" s="318">
        <v>0.594460621535998</v>
      </c>
      <c r="M16" s="319">
        <v>0.671972315748001</v>
      </c>
      <c r="N16" s="319">
        <v>0.7719524664714192</v>
      </c>
      <c r="O16" s="319">
        <v>0.76536433757088</v>
      </c>
      <c r="P16" s="319">
        <v>0.6204542627632916</v>
      </c>
      <c r="Q16" s="320">
        <v>0.716817627603934</v>
      </c>
      <c r="R16" s="322">
        <v>0.6878392011131099</v>
      </c>
    </row>
    <row r="17" spans="2:18" ht="3.75" customHeight="1">
      <c r="B17" s="90"/>
      <c r="C17" s="318"/>
      <c r="D17" s="319"/>
      <c r="E17" s="319"/>
      <c r="F17" s="319"/>
      <c r="G17" s="319"/>
      <c r="H17" s="320"/>
      <c r="I17" s="322"/>
      <c r="J17" s="319"/>
      <c r="K17" s="90"/>
      <c r="L17" s="318"/>
      <c r="M17" s="319"/>
      <c r="N17" s="319"/>
      <c r="O17" s="319"/>
      <c r="P17" s="319"/>
      <c r="Q17" s="320"/>
      <c r="R17" s="322"/>
    </row>
    <row r="18" spans="2:18" ht="12.75">
      <c r="B18" s="89" t="s">
        <v>163</v>
      </c>
      <c r="C18" s="318">
        <v>0.521210493913642</v>
      </c>
      <c r="D18" s="319">
        <v>0.7187666294157479</v>
      </c>
      <c r="E18" s="319">
        <v>0.6153018590070964</v>
      </c>
      <c r="F18" s="319">
        <v>0.6979779893641709</v>
      </c>
      <c r="G18" s="319">
        <v>0.6457004320573694</v>
      </c>
      <c r="H18" s="320">
        <v>0.6604938198591084</v>
      </c>
      <c r="I18" s="322">
        <v>0.6764726778356462</v>
      </c>
      <c r="J18" s="319"/>
      <c r="K18" s="89" t="s">
        <v>119</v>
      </c>
      <c r="L18" s="318">
        <v>0.6344960046911263</v>
      </c>
      <c r="M18" s="319">
        <v>0.5926405450124679</v>
      </c>
      <c r="N18" s="319">
        <v>0.7391205895846791</v>
      </c>
      <c r="O18" s="319">
        <v>0.7800974766280822</v>
      </c>
      <c r="P18" s="319">
        <v>0.5957017444393409</v>
      </c>
      <c r="Q18" s="320">
        <v>0.6204695815522856</v>
      </c>
      <c r="R18" s="322">
        <v>0.6344106064450226</v>
      </c>
    </row>
    <row r="19" spans="2:18" ht="3.75" customHeight="1">
      <c r="B19" s="90"/>
      <c r="C19" s="318"/>
      <c r="D19" s="319"/>
      <c r="E19" s="319"/>
      <c r="F19" s="319"/>
      <c r="G19" s="319"/>
      <c r="H19" s="320"/>
      <c r="I19" s="322"/>
      <c r="J19" s="319"/>
      <c r="K19" s="90"/>
      <c r="L19" s="318"/>
      <c r="M19" s="319"/>
      <c r="N19" s="319"/>
      <c r="O19" s="319"/>
      <c r="P19" s="319"/>
      <c r="Q19" s="320"/>
      <c r="R19" s="322"/>
    </row>
    <row r="20" spans="2:18" ht="12.75">
      <c r="B20" s="89" t="s">
        <v>164</v>
      </c>
      <c r="C20" s="318">
        <v>0.5418371655987697</v>
      </c>
      <c r="D20" s="319">
        <v>0.6051313232010035</v>
      </c>
      <c r="E20" s="319">
        <v>0.5852031968607879</v>
      </c>
      <c r="F20" s="319">
        <v>0.6691851948788662</v>
      </c>
      <c r="G20" s="319">
        <v>0.583434405904156</v>
      </c>
      <c r="H20" s="320">
        <v>0.6380932580375305</v>
      </c>
      <c r="I20" s="322">
        <v>0.6115646755890235</v>
      </c>
      <c r="J20" s="319"/>
      <c r="K20" s="89" t="s">
        <v>34</v>
      </c>
      <c r="L20" s="318">
        <v>0.380792870826783</v>
      </c>
      <c r="M20" s="319">
        <v>0.6573102357522702</v>
      </c>
      <c r="N20" s="319">
        <v>0.6811865707921105</v>
      </c>
      <c r="O20" s="319">
        <v>0.7268629421565391</v>
      </c>
      <c r="P20" s="319">
        <v>0.5962206913077236</v>
      </c>
      <c r="Q20" s="320">
        <v>0.65659565652596</v>
      </c>
      <c r="R20" s="322">
        <v>0.6745749778161809</v>
      </c>
    </row>
    <row r="21" spans="2:18" ht="3.75" customHeight="1">
      <c r="B21" s="90"/>
      <c r="C21" s="318"/>
      <c r="D21" s="319"/>
      <c r="E21" s="319"/>
      <c r="F21" s="319"/>
      <c r="G21" s="319"/>
      <c r="H21" s="320"/>
      <c r="I21" s="322"/>
      <c r="J21" s="319"/>
      <c r="K21" s="90"/>
      <c r="L21" s="318"/>
      <c r="M21" s="319"/>
      <c r="N21" s="319"/>
      <c r="O21" s="319"/>
      <c r="P21" s="319"/>
      <c r="Q21" s="320"/>
      <c r="R21" s="322"/>
    </row>
    <row r="22" spans="2:18" ht="12.75">
      <c r="B22" s="89" t="s">
        <v>165</v>
      </c>
      <c r="C22" s="318">
        <v>0.5798531349170971</v>
      </c>
      <c r="D22" s="319">
        <v>0.5778871666007652</v>
      </c>
      <c r="E22" s="319">
        <v>0.6138735916645607</v>
      </c>
      <c r="F22" s="319">
        <v>0.6913549583334837</v>
      </c>
      <c r="G22" s="319">
        <v>0.536461854561999</v>
      </c>
      <c r="H22" s="320">
        <v>0.5188459905673506</v>
      </c>
      <c r="I22" s="322">
        <v>0.5974236601659711</v>
      </c>
      <c r="J22" s="319"/>
      <c r="K22" s="89" t="s">
        <v>35</v>
      </c>
      <c r="L22" s="318">
        <v>0.2766108905255594</v>
      </c>
      <c r="M22" s="319">
        <v>0.7158181702306411</v>
      </c>
      <c r="N22" s="319">
        <v>0.6590691926153583</v>
      </c>
      <c r="O22" s="319">
        <v>0.706037487647534</v>
      </c>
      <c r="P22" s="319">
        <v>0.6340578827935603</v>
      </c>
      <c r="Q22" s="320">
        <v>0.6247067949791829</v>
      </c>
      <c r="R22" s="322">
        <v>0.6758184400586211</v>
      </c>
    </row>
    <row r="23" spans="2:18" ht="3.75" customHeight="1">
      <c r="B23" s="89"/>
      <c r="C23" s="318"/>
      <c r="D23" s="319"/>
      <c r="E23" s="319"/>
      <c r="F23" s="319"/>
      <c r="G23" s="319"/>
      <c r="H23" s="320"/>
      <c r="I23" s="322"/>
      <c r="J23" s="319"/>
      <c r="K23" s="89"/>
      <c r="L23" s="318"/>
      <c r="M23" s="319"/>
      <c r="N23" s="319"/>
      <c r="O23" s="319"/>
      <c r="P23" s="319"/>
      <c r="Q23" s="320"/>
      <c r="R23" s="322"/>
    </row>
    <row r="24" spans="2:18" ht="12.75">
      <c r="B24" s="89" t="s">
        <v>45</v>
      </c>
      <c r="C24" s="318">
        <v>0.47445539599492426</v>
      </c>
      <c r="D24" s="319">
        <v>0.5940246729704259</v>
      </c>
      <c r="E24" s="319">
        <v>0.6820065591378058</v>
      </c>
      <c r="F24" s="319">
        <v>0.6853164428076164</v>
      </c>
      <c r="G24" s="319">
        <v>0.5510859558822824</v>
      </c>
      <c r="H24" s="320">
        <v>0.8094156100889724</v>
      </c>
      <c r="I24" s="322">
        <v>0.623756523714477</v>
      </c>
      <c r="J24" s="319"/>
      <c r="K24" s="89" t="s">
        <v>36</v>
      </c>
      <c r="L24" s="318">
        <v>0.41043967019192734</v>
      </c>
      <c r="M24" s="319">
        <v>0.7953984936488941</v>
      </c>
      <c r="N24" s="319">
        <v>0.7395114956102044</v>
      </c>
      <c r="O24" s="319">
        <v>0.6689492201476356</v>
      </c>
      <c r="P24" s="319">
        <v>0.5831836674440088</v>
      </c>
      <c r="Q24" s="320">
        <v>0.15275543501256209</v>
      </c>
      <c r="R24" s="322">
        <v>0.7053520620034981</v>
      </c>
    </row>
    <row r="25" spans="2:18" ht="3.75" customHeight="1" thickBot="1">
      <c r="B25" s="89"/>
      <c r="C25" s="318"/>
      <c r="D25" s="319"/>
      <c r="E25" s="319"/>
      <c r="F25" s="319"/>
      <c r="G25" s="319"/>
      <c r="H25" s="320"/>
      <c r="I25" s="322"/>
      <c r="J25" s="319"/>
      <c r="K25" s="115"/>
      <c r="L25" s="323"/>
      <c r="M25" s="324"/>
      <c r="N25" s="324"/>
      <c r="O25" s="324"/>
      <c r="P25" s="324"/>
      <c r="Q25" s="325"/>
      <c r="R25" s="326"/>
    </row>
    <row r="26" spans="2:18" ht="13.5" thickTop="1">
      <c r="B26" s="89" t="s">
        <v>46</v>
      </c>
      <c r="C26" s="318">
        <v>0.2640222067038541</v>
      </c>
      <c r="D26" s="319">
        <v>0.6795223270264322</v>
      </c>
      <c r="E26" s="319">
        <v>0.7072673377013846</v>
      </c>
      <c r="F26" s="319">
        <v>0.5773829612352254</v>
      </c>
      <c r="G26" s="319">
        <v>0.709652762212034</v>
      </c>
      <c r="H26" s="320">
        <v>0.5576219403630032</v>
      </c>
      <c r="I26" s="322">
        <v>0.6423728948680936</v>
      </c>
      <c r="J26" s="319"/>
      <c r="K26" s="116" t="s">
        <v>84</v>
      </c>
      <c r="L26" s="327">
        <v>0.5189192967617411</v>
      </c>
      <c r="M26" s="328">
        <v>0.6373689946181984</v>
      </c>
      <c r="N26" s="328">
        <v>0.6958971732768752</v>
      </c>
      <c r="O26" s="328">
        <v>0.695287701018862</v>
      </c>
      <c r="P26" s="328">
        <v>0.610651429785967</v>
      </c>
      <c r="Q26" s="328">
        <v>0.648273882531168</v>
      </c>
      <c r="R26" s="329">
        <v>0.663390379810261</v>
      </c>
    </row>
    <row r="27" spans="2:19" ht="3.75" customHeight="1">
      <c r="B27" s="89"/>
      <c r="C27" s="318"/>
      <c r="D27" s="319"/>
      <c r="E27" s="319"/>
      <c r="F27" s="319"/>
      <c r="G27" s="319"/>
      <c r="H27" s="320"/>
      <c r="I27" s="322"/>
      <c r="J27" s="319"/>
      <c r="K27" s="93"/>
      <c r="L27" s="319"/>
      <c r="M27" s="319"/>
      <c r="N27" s="319"/>
      <c r="O27" s="319"/>
      <c r="P27" s="319"/>
      <c r="Q27" s="320"/>
      <c r="R27" s="319"/>
      <c r="S27" s="189"/>
    </row>
    <row r="28" spans="2:10" ht="14.25" customHeight="1">
      <c r="B28" s="93" t="s">
        <v>47</v>
      </c>
      <c r="C28" s="318">
        <v>0.8850759319830741</v>
      </c>
      <c r="D28" s="319">
        <v>0.5296583978136082</v>
      </c>
      <c r="E28" s="319">
        <v>0.7291214186886905</v>
      </c>
      <c r="F28" s="319">
        <v>0.5187508848612331</v>
      </c>
      <c r="G28" s="319">
        <v>0.3587736599847041</v>
      </c>
      <c r="H28" s="320">
        <v>0.51401381401995</v>
      </c>
      <c r="I28" s="322">
        <v>0.5311788759503039</v>
      </c>
      <c r="J28" s="319"/>
    </row>
    <row r="29" spans="2:18" ht="3.75" customHeight="1" thickBot="1">
      <c r="B29" s="44"/>
      <c r="C29" s="323"/>
      <c r="D29" s="324"/>
      <c r="E29" s="324"/>
      <c r="F29" s="324"/>
      <c r="G29" s="324"/>
      <c r="H29" s="324"/>
      <c r="I29" s="326"/>
      <c r="J29" s="319"/>
      <c r="L29" s="237"/>
      <c r="M29" s="237"/>
      <c r="N29" s="237"/>
      <c r="O29" s="237"/>
      <c r="P29" s="237"/>
      <c r="Q29" s="237"/>
      <c r="R29" s="237"/>
    </row>
    <row r="30" spans="2:10" ht="13.5" thickTop="1">
      <c r="B30" s="94" t="s">
        <v>84</v>
      </c>
      <c r="C30" s="330">
        <v>0.5189192967617423</v>
      </c>
      <c r="D30" s="331">
        <v>0.6373689946182115</v>
      </c>
      <c r="E30" s="331">
        <v>0.6958971732768781</v>
      </c>
      <c r="F30" s="331">
        <v>0.6952877010188676</v>
      </c>
      <c r="G30" s="331">
        <v>0.610651429785965</v>
      </c>
      <c r="H30" s="669">
        <v>0.6482738825311697</v>
      </c>
      <c r="I30" s="332">
        <v>0.6633903798102687</v>
      </c>
      <c r="J30" s="333"/>
    </row>
    <row r="32" spans="2:18" ht="15" customHeight="1">
      <c r="B32" s="39"/>
      <c r="C32" s="758" t="s">
        <v>268</v>
      </c>
      <c r="D32" s="758"/>
      <c r="E32" s="758"/>
      <c r="F32" s="758"/>
      <c r="G32" s="758"/>
      <c r="H32" s="758"/>
      <c r="I32" s="758"/>
      <c r="K32" s="40"/>
      <c r="L32" s="758" t="s">
        <v>268</v>
      </c>
      <c r="M32" s="758"/>
      <c r="N32" s="758"/>
      <c r="O32" s="758"/>
      <c r="P32" s="758"/>
      <c r="Q32" s="758"/>
      <c r="R32" s="758"/>
    </row>
    <row r="33" spans="2:18" ht="12.75">
      <c r="B33" s="41"/>
      <c r="C33" s="756" t="s">
        <v>166</v>
      </c>
      <c r="D33" s="757"/>
      <c r="E33" s="757"/>
      <c r="F33" s="757"/>
      <c r="G33" s="757"/>
      <c r="H33" s="757"/>
      <c r="I33" s="92"/>
      <c r="K33" s="41"/>
      <c r="L33" s="756" t="s">
        <v>166</v>
      </c>
      <c r="M33" s="757"/>
      <c r="N33" s="757"/>
      <c r="O33" s="757"/>
      <c r="P33" s="757"/>
      <c r="Q33" s="757"/>
      <c r="R33" s="92"/>
    </row>
    <row r="34" spans="2:18" ht="25.5">
      <c r="B34" s="42" t="s">
        <v>203</v>
      </c>
      <c r="C34" s="95" t="s">
        <v>153</v>
      </c>
      <c r="D34" s="59" t="s">
        <v>154</v>
      </c>
      <c r="E34" s="59" t="s">
        <v>155</v>
      </c>
      <c r="F34" s="59" t="s">
        <v>156</v>
      </c>
      <c r="G34" s="59" t="s">
        <v>157</v>
      </c>
      <c r="H34" s="59" t="s">
        <v>158</v>
      </c>
      <c r="I34" s="117" t="s">
        <v>122</v>
      </c>
      <c r="K34" s="42" t="s">
        <v>28</v>
      </c>
      <c r="L34" s="95" t="s">
        <v>153</v>
      </c>
      <c r="M34" s="59" t="s">
        <v>154</v>
      </c>
      <c r="N34" s="59" t="s">
        <v>155</v>
      </c>
      <c r="O34" s="59" t="s">
        <v>156</v>
      </c>
      <c r="P34" s="59" t="s">
        <v>157</v>
      </c>
      <c r="Q34" s="59" t="s">
        <v>158</v>
      </c>
      <c r="R34" s="117" t="s">
        <v>122</v>
      </c>
    </row>
    <row r="35" spans="2:18" ht="12.75">
      <c r="B35" s="89" t="s">
        <v>159</v>
      </c>
      <c r="C35" s="318">
        <v>0.48213440022370974</v>
      </c>
      <c r="D35" s="319">
        <v>1.1418657375657568</v>
      </c>
      <c r="E35" s="319">
        <v>0.9799230656451831</v>
      </c>
      <c r="F35" s="319">
        <v>0.942661002567054</v>
      </c>
      <c r="G35" s="319">
        <v>0.9259264604780185</v>
      </c>
      <c r="H35" s="320">
        <v>0</v>
      </c>
      <c r="I35" s="321">
        <v>0.9777970769571961</v>
      </c>
      <c r="K35" s="89" t="s">
        <v>115</v>
      </c>
      <c r="L35" s="318">
        <v>0.4299824499268461</v>
      </c>
      <c r="M35" s="319">
        <v>0.7704036164085516</v>
      </c>
      <c r="N35" s="319">
        <v>1.0849269784779514</v>
      </c>
      <c r="O35" s="319">
        <v>0.8527021151687906</v>
      </c>
      <c r="P35" s="319">
        <v>0.5331123483924748</v>
      </c>
      <c r="Q35" s="320">
        <v>0.6904798681643779</v>
      </c>
      <c r="R35" s="321">
        <v>0.7996837934213311</v>
      </c>
    </row>
    <row r="36" spans="2:18" ht="4.5" customHeight="1">
      <c r="B36" s="90"/>
      <c r="C36" s="318"/>
      <c r="D36" s="319"/>
      <c r="E36" s="319"/>
      <c r="F36" s="319"/>
      <c r="G36" s="319"/>
      <c r="H36" s="320"/>
      <c r="I36" s="322"/>
      <c r="K36" s="90"/>
      <c r="L36" s="318"/>
      <c r="M36" s="319"/>
      <c r="N36" s="319"/>
      <c r="O36" s="319"/>
      <c r="P36" s="319"/>
      <c r="Q36" s="320"/>
      <c r="R36" s="322"/>
    </row>
    <row r="37" spans="2:18" ht="12.75">
      <c r="B37" s="89" t="s">
        <v>160</v>
      </c>
      <c r="C37" s="318">
        <v>0.49492824278880393</v>
      </c>
      <c r="D37" s="319">
        <v>0.9182416568696904</v>
      </c>
      <c r="E37" s="319">
        <v>0.8975935978158542</v>
      </c>
      <c r="F37" s="319">
        <v>0.8730804851133743</v>
      </c>
      <c r="G37" s="319">
        <v>0.8608718561675938</v>
      </c>
      <c r="H37" s="320">
        <v>1.2105113891828705</v>
      </c>
      <c r="I37" s="322">
        <v>0.8930424782135716</v>
      </c>
      <c r="K37" s="89" t="s">
        <v>116</v>
      </c>
      <c r="L37" s="318">
        <v>0.5182359218734952</v>
      </c>
      <c r="M37" s="319">
        <v>0.7125466921794015</v>
      </c>
      <c r="N37" s="319">
        <v>1.1510117568219802</v>
      </c>
      <c r="O37" s="319">
        <v>0.8914655480527863</v>
      </c>
      <c r="P37" s="319">
        <v>0.6775259012505963</v>
      </c>
      <c r="Q37" s="320">
        <v>0.6145152721091158</v>
      </c>
      <c r="R37" s="322">
        <v>0.7944197456784929</v>
      </c>
    </row>
    <row r="38" spans="2:18" ht="4.5" customHeight="1">
      <c r="B38" s="90"/>
      <c r="C38" s="318"/>
      <c r="D38" s="319"/>
      <c r="E38" s="319"/>
      <c r="F38" s="319"/>
      <c r="G38" s="319"/>
      <c r="H38" s="320"/>
      <c r="I38" s="322"/>
      <c r="K38" s="90"/>
      <c r="L38" s="318"/>
      <c r="M38" s="319"/>
      <c r="N38" s="319"/>
      <c r="O38" s="319"/>
      <c r="P38" s="319"/>
      <c r="Q38" s="320"/>
      <c r="R38" s="322"/>
    </row>
    <row r="39" spans="2:18" ht="12.75">
      <c r="B39" s="89" t="s">
        <v>161</v>
      </c>
      <c r="C39" s="318">
        <v>0.42279782731657667</v>
      </c>
      <c r="D39" s="319">
        <v>0.8727322493136701</v>
      </c>
      <c r="E39" s="319">
        <v>0.7934649634988596</v>
      </c>
      <c r="F39" s="319">
        <v>0.871104540585836</v>
      </c>
      <c r="G39" s="319">
        <v>0.7679704698742996</v>
      </c>
      <c r="H39" s="320">
        <v>0.6746465819881579</v>
      </c>
      <c r="I39" s="322">
        <v>0.8186749806393895</v>
      </c>
      <c r="K39" s="89" t="s">
        <v>117</v>
      </c>
      <c r="L39" s="318">
        <v>0.6907214633556533</v>
      </c>
      <c r="M39" s="319">
        <v>0.8254763604428635</v>
      </c>
      <c r="N39" s="319">
        <v>1.1968922081233366</v>
      </c>
      <c r="O39" s="319">
        <v>0.9435404473361243</v>
      </c>
      <c r="P39" s="319">
        <v>0.8303601983104847</v>
      </c>
      <c r="Q39" s="320">
        <v>0.844684918196039</v>
      </c>
      <c r="R39" s="322">
        <v>0.8936923371521068</v>
      </c>
    </row>
    <row r="40" spans="2:18" ht="4.5" customHeight="1">
      <c r="B40" s="90"/>
      <c r="C40" s="318"/>
      <c r="D40" s="319"/>
      <c r="E40" s="319"/>
      <c r="F40" s="319"/>
      <c r="G40" s="319"/>
      <c r="H40" s="320"/>
      <c r="I40" s="322"/>
      <c r="K40" s="90"/>
      <c r="L40" s="318"/>
      <c r="M40" s="319"/>
      <c r="N40" s="319"/>
      <c r="O40" s="319"/>
      <c r="P40" s="319"/>
      <c r="Q40" s="320"/>
      <c r="R40" s="322"/>
    </row>
    <row r="41" spans="2:18" ht="12.75">
      <c r="B41" s="89" t="s">
        <v>162</v>
      </c>
      <c r="C41" s="318">
        <v>0.41013929627880996</v>
      </c>
      <c r="D41" s="319">
        <v>0.8468965891558775</v>
      </c>
      <c r="E41" s="319">
        <v>0.708844304992293</v>
      </c>
      <c r="F41" s="319">
        <v>0.7698293308665052</v>
      </c>
      <c r="G41" s="319">
        <v>0.7418203519364139</v>
      </c>
      <c r="H41" s="320">
        <v>0.7490475033558596</v>
      </c>
      <c r="I41" s="322">
        <v>0.7538037876992814</v>
      </c>
      <c r="K41" s="89" t="s">
        <v>118</v>
      </c>
      <c r="L41" s="318">
        <v>0.6588914953614554</v>
      </c>
      <c r="M41" s="319">
        <v>0.7462673498297031</v>
      </c>
      <c r="N41" s="319">
        <v>1.0958289654485422</v>
      </c>
      <c r="O41" s="319">
        <v>0.9680394006050328</v>
      </c>
      <c r="P41" s="319">
        <v>0.7609928239726477</v>
      </c>
      <c r="Q41" s="320">
        <v>0.6732336696996623</v>
      </c>
      <c r="R41" s="322">
        <v>0.8403555072459443</v>
      </c>
    </row>
    <row r="42" spans="2:18" ht="4.5" customHeight="1">
      <c r="B42" s="90"/>
      <c r="C42" s="318"/>
      <c r="D42" s="319"/>
      <c r="E42" s="319"/>
      <c r="F42" s="319"/>
      <c r="G42" s="319"/>
      <c r="H42" s="320"/>
      <c r="I42" s="322"/>
      <c r="K42" s="90"/>
      <c r="L42" s="318"/>
      <c r="M42" s="319"/>
      <c r="N42" s="319"/>
      <c r="O42" s="319"/>
      <c r="P42" s="319"/>
      <c r="Q42" s="320"/>
      <c r="R42" s="322"/>
    </row>
    <row r="43" spans="2:18" ht="12.75">
      <c r="B43" s="89" t="s">
        <v>163</v>
      </c>
      <c r="C43" s="318">
        <v>0.549352972408206</v>
      </c>
      <c r="D43" s="319">
        <v>0.7297934697998868</v>
      </c>
      <c r="E43" s="319">
        <v>0.621415564035143</v>
      </c>
      <c r="F43" s="319">
        <v>0.7028763618997438</v>
      </c>
      <c r="G43" s="319">
        <v>0.6478544405295417</v>
      </c>
      <c r="H43" s="320">
        <v>0.6697669580889782</v>
      </c>
      <c r="I43" s="322">
        <v>0.6838316763402629</v>
      </c>
      <c r="K43" s="89" t="s">
        <v>119</v>
      </c>
      <c r="L43" s="318">
        <v>0.5274819819136328</v>
      </c>
      <c r="M43" s="319">
        <v>0.6877932897476567</v>
      </c>
      <c r="N43" s="319">
        <v>1.025241607120274</v>
      </c>
      <c r="O43" s="319">
        <v>0.9188915282509617</v>
      </c>
      <c r="P43" s="319">
        <v>0.7477977266015311</v>
      </c>
      <c r="Q43" s="320">
        <v>0.6638984260533821</v>
      </c>
      <c r="R43" s="322">
        <v>0.8106562390717004</v>
      </c>
    </row>
    <row r="44" spans="2:18" ht="4.5" customHeight="1">
      <c r="B44" s="90"/>
      <c r="C44" s="318"/>
      <c r="D44" s="319"/>
      <c r="E44" s="319"/>
      <c r="F44" s="319"/>
      <c r="G44" s="319"/>
      <c r="H44" s="320"/>
      <c r="I44" s="322"/>
      <c r="K44" s="90"/>
      <c r="L44" s="318"/>
      <c r="M44" s="319"/>
      <c r="N44" s="319"/>
      <c r="O44" s="319"/>
      <c r="P44" s="319"/>
      <c r="Q44" s="320"/>
      <c r="R44" s="322"/>
    </row>
    <row r="45" spans="2:18" ht="12.75">
      <c r="B45" s="89" t="s">
        <v>164</v>
      </c>
      <c r="C45" s="318">
        <v>0.5587408026249538</v>
      </c>
      <c r="D45" s="319">
        <v>0.6103606492174979</v>
      </c>
      <c r="E45" s="319">
        <v>0.5803494876036779</v>
      </c>
      <c r="F45" s="319">
        <v>0.6662481057522226</v>
      </c>
      <c r="G45" s="319">
        <v>0.5813735242744382</v>
      </c>
      <c r="H45" s="320">
        <v>0.6235579169862411</v>
      </c>
      <c r="I45" s="322">
        <v>0.6116094308377376</v>
      </c>
      <c r="K45" s="89" t="s">
        <v>34</v>
      </c>
      <c r="L45" s="318">
        <v>0.30991508641038934</v>
      </c>
      <c r="M45" s="319">
        <v>0.7443554917867183</v>
      </c>
      <c r="N45" s="319">
        <v>0.8328032457276355</v>
      </c>
      <c r="O45" s="319">
        <v>0.7795546259725535</v>
      </c>
      <c r="P45" s="319">
        <v>0.6981076550949756</v>
      </c>
      <c r="Q45" s="320">
        <v>0.6628321517839415</v>
      </c>
      <c r="R45" s="322">
        <v>0.7882400146052428</v>
      </c>
    </row>
    <row r="46" spans="2:18" ht="4.5" customHeight="1">
      <c r="B46" s="90"/>
      <c r="C46" s="318"/>
      <c r="D46" s="319"/>
      <c r="E46" s="319"/>
      <c r="F46" s="319"/>
      <c r="G46" s="319"/>
      <c r="H46" s="320"/>
      <c r="I46" s="322"/>
      <c r="K46" s="90"/>
      <c r="L46" s="318"/>
      <c r="M46" s="319"/>
      <c r="N46" s="319"/>
      <c r="O46" s="319"/>
      <c r="P46" s="319"/>
      <c r="Q46" s="320"/>
      <c r="R46" s="322"/>
    </row>
    <row r="47" spans="2:18" ht="12.75">
      <c r="B47" s="89" t="s">
        <v>165</v>
      </c>
      <c r="C47" s="318">
        <v>0.5513265978186982</v>
      </c>
      <c r="D47" s="319">
        <v>0.5811706379710958</v>
      </c>
      <c r="E47" s="319">
        <v>0.6167812871870142</v>
      </c>
      <c r="F47" s="319">
        <v>0.6943653159421107</v>
      </c>
      <c r="G47" s="319">
        <v>0.5400920347689594</v>
      </c>
      <c r="H47" s="320">
        <v>0.5104250118616653</v>
      </c>
      <c r="I47" s="322">
        <v>0.599278792155109</v>
      </c>
      <c r="K47" s="89" t="s">
        <v>35</v>
      </c>
      <c r="L47" s="318">
        <v>0.32241666335293906</v>
      </c>
      <c r="M47" s="319">
        <v>0.7492997993673781</v>
      </c>
      <c r="N47" s="319">
        <v>0.7939789282734164</v>
      </c>
      <c r="O47" s="319">
        <v>0.7524505847102233</v>
      </c>
      <c r="P47" s="319">
        <v>0.7062642626746402</v>
      </c>
      <c r="Q47" s="320">
        <v>0.7720739784363981</v>
      </c>
      <c r="R47" s="322">
        <v>0.7722173406504145</v>
      </c>
    </row>
    <row r="48" spans="2:18" ht="4.5" customHeight="1">
      <c r="B48" s="89"/>
      <c r="C48" s="318"/>
      <c r="D48" s="319"/>
      <c r="E48" s="319"/>
      <c r="F48" s="319"/>
      <c r="G48" s="319"/>
      <c r="H48" s="320"/>
      <c r="I48" s="322"/>
      <c r="K48" s="89"/>
      <c r="L48" s="318"/>
      <c r="M48" s="319"/>
      <c r="N48" s="319"/>
      <c r="O48" s="319"/>
      <c r="P48" s="319"/>
      <c r="Q48" s="320"/>
      <c r="R48" s="322"/>
    </row>
    <row r="49" spans="2:18" ht="12.75">
      <c r="B49" s="89" t="s">
        <v>45</v>
      </c>
      <c r="C49" s="318">
        <v>0.5109591541296029</v>
      </c>
      <c r="D49" s="319">
        <v>0.5955036381984551</v>
      </c>
      <c r="E49" s="319">
        <v>0.6846766196875645</v>
      </c>
      <c r="F49" s="319">
        <v>0.6884650906698911</v>
      </c>
      <c r="G49" s="319">
        <v>0.5673223188716612</v>
      </c>
      <c r="H49" s="320">
        <v>0.8323490805455885</v>
      </c>
      <c r="I49" s="322">
        <v>0.6279401627129451</v>
      </c>
      <c r="K49" s="89" t="s">
        <v>36</v>
      </c>
      <c r="L49" s="318">
        <v>0.4075714030072399</v>
      </c>
      <c r="M49" s="319">
        <v>0.7817546169014783</v>
      </c>
      <c r="N49" s="319">
        <v>0.8827584892702403</v>
      </c>
      <c r="O49" s="319">
        <v>0.7537749452617651</v>
      </c>
      <c r="P49" s="319">
        <v>0.6274399550461938</v>
      </c>
      <c r="Q49" s="320">
        <v>0.5076837942256044</v>
      </c>
      <c r="R49" s="322">
        <v>0.8456678483626247</v>
      </c>
    </row>
    <row r="50" spans="2:18" ht="4.5" customHeight="1" thickBot="1">
      <c r="B50" s="89"/>
      <c r="C50" s="318"/>
      <c r="D50" s="319"/>
      <c r="E50" s="319"/>
      <c r="F50" s="319"/>
      <c r="G50" s="319"/>
      <c r="H50" s="320"/>
      <c r="I50" s="322"/>
      <c r="K50" s="115"/>
      <c r="L50" s="323"/>
      <c r="M50" s="324"/>
      <c r="N50" s="324"/>
      <c r="O50" s="324"/>
      <c r="P50" s="324"/>
      <c r="Q50" s="325"/>
      <c r="R50" s="326"/>
    </row>
    <row r="51" spans="2:18" ht="13.5" thickTop="1">
      <c r="B51" s="89" t="s">
        <v>46</v>
      </c>
      <c r="C51" s="318">
        <v>0.28011204481792706</v>
      </c>
      <c r="D51" s="319">
        <v>0.6600700824086803</v>
      </c>
      <c r="E51" s="319">
        <v>0.7101636167996304</v>
      </c>
      <c r="F51" s="319">
        <v>0.5882027588037586</v>
      </c>
      <c r="G51" s="319">
        <v>0.6871453352665023</v>
      </c>
      <c r="H51" s="320">
        <v>0.603158136000096</v>
      </c>
      <c r="I51" s="322">
        <v>0.639149601543188</v>
      </c>
      <c r="K51" s="94" t="s">
        <v>84</v>
      </c>
      <c r="L51" s="328">
        <v>0.48910532424383996</v>
      </c>
      <c r="M51" s="328">
        <v>0.7325651234481503</v>
      </c>
      <c r="N51" s="328">
        <v>0.8534292471349377</v>
      </c>
      <c r="O51" s="328">
        <v>0.7830254009005667</v>
      </c>
      <c r="P51" s="328">
        <v>0.7028718387119375</v>
      </c>
      <c r="Q51" s="328">
        <v>0.6776627366625774</v>
      </c>
      <c r="R51" s="334">
        <v>0.8063244665932203</v>
      </c>
    </row>
    <row r="52" spans="2:18" ht="4.5" customHeight="1">
      <c r="B52" s="89"/>
      <c r="C52" s="318"/>
      <c r="D52" s="319"/>
      <c r="E52" s="319"/>
      <c r="F52" s="319"/>
      <c r="G52" s="319"/>
      <c r="H52" s="320"/>
      <c r="I52" s="322"/>
      <c r="K52" s="93"/>
      <c r="L52" s="319"/>
      <c r="M52" s="319"/>
      <c r="N52" s="319"/>
      <c r="O52" s="319"/>
      <c r="P52" s="319"/>
      <c r="Q52" s="320"/>
      <c r="R52" s="319"/>
    </row>
    <row r="53" spans="2:18" ht="12.75">
      <c r="B53" s="93" t="s">
        <v>47</v>
      </c>
      <c r="C53" s="318">
        <v>0.6717315223451494</v>
      </c>
      <c r="D53" s="319">
        <v>0.6160705523996635</v>
      </c>
      <c r="E53" s="319">
        <v>0.9547210958188233</v>
      </c>
      <c r="F53" s="319">
        <v>0.5130714497334947</v>
      </c>
      <c r="G53" s="319">
        <v>0.4503845157803474</v>
      </c>
      <c r="H53" s="320">
        <v>0.6193561173803717</v>
      </c>
      <c r="I53" s="322">
        <v>0.5884413342633378</v>
      </c>
      <c r="K53" s="189"/>
      <c r="L53" s="189"/>
      <c r="M53" s="189"/>
      <c r="N53" s="189"/>
      <c r="O53" s="189"/>
      <c r="P53" s="189"/>
      <c r="Q53" s="189"/>
      <c r="R53" s="189"/>
    </row>
    <row r="54" spans="2:9" ht="4.5" customHeight="1" thickBot="1">
      <c r="B54" s="44"/>
      <c r="C54" s="323"/>
      <c r="D54" s="324"/>
      <c r="E54" s="324"/>
      <c r="F54" s="324"/>
      <c r="G54" s="324"/>
      <c r="H54" s="324"/>
      <c r="I54" s="326"/>
    </row>
    <row r="55" spans="2:18" ht="13.5" thickTop="1">
      <c r="B55" s="94" t="s">
        <v>84</v>
      </c>
      <c r="C55" s="330">
        <v>0.48910532424383407</v>
      </c>
      <c r="D55" s="331">
        <v>0.7325651234481262</v>
      </c>
      <c r="E55" s="331">
        <v>0.8534292471349164</v>
      </c>
      <c r="F55" s="331">
        <v>0.7830254009006082</v>
      </c>
      <c r="G55" s="331">
        <v>0.7028718387119753</v>
      </c>
      <c r="H55" s="669">
        <v>0.6776627366625645</v>
      </c>
      <c r="I55" s="332">
        <v>0.8063244665932314</v>
      </c>
      <c r="K55" s="43"/>
      <c r="L55" s="333"/>
      <c r="M55" s="333"/>
      <c r="N55" s="333"/>
      <c r="O55" s="333"/>
      <c r="P55" s="333"/>
      <c r="Q55" s="335"/>
      <c r="R55" s="333"/>
    </row>
    <row r="56" spans="11:18" ht="10.5" customHeight="1">
      <c r="K56" s="189"/>
      <c r="L56" s="189"/>
      <c r="M56" s="189"/>
      <c r="N56" s="189"/>
      <c r="O56" s="189"/>
      <c r="P56" s="189"/>
      <c r="Q56" s="189"/>
      <c r="R56" s="189"/>
    </row>
    <row r="57" spans="2:18" ht="15">
      <c r="B57" s="39"/>
      <c r="C57" s="758" t="s">
        <v>204</v>
      </c>
      <c r="D57" s="758"/>
      <c r="E57" s="758"/>
      <c r="F57" s="758"/>
      <c r="G57" s="758"/>
      <c r="H57" s="758"/>
      <c r="I57" s="758"/>
      <c r="K57" s="40"/>
      <c r="L57" s="758" t="s">
        <v>204</v>
      </c>
      <c r="M57" s="758"/>
      <c r="N57" s="758"/>
      <c r="O57" s="758"/>
      <c r="P57" s="758"/>
      <c r="Q57" s="758"/>
      <c r="R57" s="758"/>
    </row>
    <row r="58" spans="2:18" ht="12.75">
      <c r="B58" s="41"/>
      <c r="C58" s="756" t="s">
        <v>166</v>
      </c>
      <c r="D58" s="757"/>
      <c r="E58" s="757"/>
      <c r="F58" s="757"/>
      <c r="G58" s="757"/>
      <c r="H58" s="757"/>
      <c r="I58" s="92"/>
      <c r="K58" s="41"/>
      <c r="L58" s="756" t="s">
        <v>166</v>
      </c>
      <c r="M58" s="757"/>
      <c r="N58" s="757"/>
      <c r="O58" s="757"/>
      <c r="P58" s="757"/>
      <c r="Q58" s="757"/>
      <c r="R58" s="92"/>
    </row>
    <row r="59" spans="2:18" ht="25.5">
      <c r="B59" s="42" t="s">
        <v>203</v>
      </c>
      <c r="C59" s="95" t="s">
        <v>153</v>
      </c>
      <c r="D59" s="59" t="s">
        <v>154</v>
      </c>
      <c r="E59" s="59" t="s">
        <v>155</v>
      </c>
      <c r="F59" s="59" t="s">
        <v>156</v>
      </c>
      <c r="G59" s="59" t="s">
        <v>157</v>
      </c>
      <c r="H59" s="59" t="s">
        <v>158</v>
      </c>
      <c r="I59" s="117" t="s">
        <v>122</v>
      </c>
      <c r="K59" s="42" t="s">
        <v>28</v>
      </c>
      <c r="L59" s="95" t="s">
        <v>153</v>
      </c>
      <c r="M59" s="59" t="s">
        <v>154</v>
      </c>
      <c r="N59" s="59" t="s">
        <v>155</v>
      </c>
      <c r="O59" s="59" t="s">
        <v>156</v>
      </c>
      <c r="P59" s="59" t="s">
        <v>157</v>
      </c>
      <c r="Q59" s="59" t="s">
        <v>158</v>
      </c>
      <c r="R59" s="117" t="s">
        <v>122</v>
      </c>
    </row>
    <row r="60" spans="2:18" ht="12.75">
      <c r="B60" s="93" t="s">
        <v>159</v>
      </c>
      <c r="C60" s="336">
        <v>88</v>
      </c>
      <c r="D60" s="337">
        <v>405</v>
      </c>
      <c r="E60" s="337">
        <v>41227</v>
      </c>
      <c r="F60" s="337">
        <v>887</v>
      </c>
      <c r="G60" s="337">
        <v>417</v>
      </c>
      <c r="H60" s="337">
        <v>0</v>
      </c>
      <c r="I60" s="338">
        <f aca="true" t="shared" si="0" ref="I60:I69">SUM(C60:H60)</f>
        <v>43024</v>
      </c>
      <c r="K60" s="89" t="s">
        <v>115</v>
      </c>
      <c r="L60" s="339">
        <v>38</v>
      </c>
      <c r="M60" s="340">
        <v>828</v>
      </c>
      <c r="N60" s="340">
        <v>265</v>
      </c>
      <c r="O60" s="340">
        <v>414</v>
      </c>
      <c r="P60" s="340">
        <v>54</v>
      </c>
      <c r="Q60" s="340">
        <v>27</v>
      </c>
      <c r="R60" s="341">
        <f aca="true" t="shared" si="1" ref="R60:R67">SUM(L60:Q60)</f>
        <v>1626</v>
      </c>
    </row>
    <row r="61" spans="2:18" ht="12.75">
      <c r="B61" s="93" t="s">
        <v>160</v>
      </c>
      <c r="C61" s="342">
        <v>124</v>
      </c>
      <c r="D61" s="343">
        <v>926</v>
      </c>
      <c r="E61" s="343">
        <v>40172</v>
      </c>
      <c r="F61" s="343">
        <v>4785</v>
      </c>
      <c r="G61" s="343">
        <v>583</v>
      </c>
      <c r="H61" s="343">
        <v>7</v>
      </c>
      <c r="I61" s="344">
        <f t="shared" si="0"/>
        <v>46597</v>
      </c>
      <c r="K61" s="89" t="s">
        <v>116</v>
      </c>
      <c r="L61" s="345">
        <v>68</v>
      </c>
      <c r="M61" s="346">
        <v>1010</v>
      </c>
      <c r="N61" s="346">
        <v>362</v>
      </c>
      <c r="O61" s="346">
        <v>615</v>
      </c>
      <c r="P61" s="346">
        <v>96</v>
      </c>
      <c r="Q61" s="346">
        <v>35</v>
      </c>
      <c r="R61" s="347">
        <f t="shared" si="1"/>
        <v>2186</v>
      </c>
    </row>
    <row r="62" spans="2:18" ht="12.75">
      <c r="B62" s="93" t="s">
        <v>161</v>
      </c>
      <c r="C62" s="342">
        <v>119</v>
      </c>
      <c r="D62" s="343">
        <v>2862</v>
      </c>
      <c r="E62" s="343">
        <v>20098</v>
      </c>
      <c r="F62" s="343">
        <v>11323</v>
      </c>
      <c r="G62" s="343">
        <v>1276</v>
      </c>
      <c r="H62" s="343">
        <v>115</v>
      </c>
      <c r="I62" s="344">
        <f t="shared" si="0"/>
        <v>35793</v>
      </c>
      <c r="K62" s="89" t="s">
        <v>117</v>
      </c>
      <c r="L62" s="345">
        <v>101</v>
      </c>
      <c r="M62" s="346">
        <v>1492</v>
      </c>
      <c r="N62" s="346">
        <v>508</v>
      </c>
      <c r="O62" s="346">
        <v>732</v>
      </c>
      <c r="P62" s="346">
        <v>146</v>
      </c>
      <c r="Q62" s="346">
        <v>56</v>
      </c>
      <c r="R62" s="347">
        <f t="shared" si="1"/>
        <v>3035</v>
      </c>
    </row>
    <row r="63" spans="2:18" ht="12.75">
      <c r="B63" s="93" t="s">
        <v>162</v>
      </c>
      <c r="C63" s="342">
        <v>98</v>
      </c>
      <c r="D63" s="343">
        <v>4447</v>
      </c>
      <c r="E63" s="343">
        <v>10542</v>
      </c>
      <c r="F63" s="343">
        <v>17262</v>
      </c>
      <c r="G63" s="343">
        <v>5861</v>
      </c>
      <c r="H63" s="343">
        <v>430</v>
      </c>
      <c r="I63" s="344">
        <f t="shared" si="0"/>
        <v>38640</v>
      </c>
      <c r="K63" s="89" t="s">
        <v>118</v>
      </c>
      <c r="L63" s="345">
        <v>192</v>
      </c>
      <c r="M63" s="346">
        <v>3179</v>
      </c>
      <c r="N63" s="346">
        <v>1441</v>
      </c>
      <c r="O63" s="346">
        <v>1492</v>
      </c>
      <c r="P63" s="346">
        <v>451</v>
      </c>
      <c r="Q63" s="346">
        <v>129</v>
      </c>
      <c r="R63" s="347">
        <f t="shared" si="1"/>
        <v>6884</v>
      </c>
    </row>
    <row r="64" spans="2:18" ht="12.75">
      <c r="B64" s="93" t="s">
        <v>163</v>
      </c>
      <c r="C64" s="342">
        <v>162</v>
      </c>
      <c r="D64" s="343">
        <v>11445</v>
      </c>
      <c r="E64" s="343">
        <v>7263</v>
      </c>
      <c r="F64" s="343">
        <v>9109</v>
      </c>
      <c r="G64" s="343">
        <v>3342</v>
      </c>
      <c r="H64" s="343">
        <v>612</v>
      </c>
      <c r="I64" s="344">
        <f t="shared" si="0"/>
        <v>31933</v>
      </c>
      <c r="K64" s="89" t="s">
        <v>119</v>
      </c>
      <c r="L64" s="345">
        <v>170</v>
      </c>
      <c r="M64" s="346">
        <v>8378</v>
      </c>
      <c r="N64" s="346">
        <v>6781</v>
      </c>
      <c r="O64" s="346">
        <v>4481</v>
      </c>
      <c r="P64" s="346">
        <v>2467</v>
      </c>
      <c r="Q64" s="346">
        <v>687</v>
      </c>
      <c r="R64" s="347">
        <f t="shared" si="1"/>
        <v>22964</v>
      </c>
    </row>
    <row r="65" spans="2:18" ht="12.75">
      <c r="B65" s="93" t="s">
        <v>164</v>
      </c>
      <c r="C65" s="342">
        <v>117</v>
      </c>
      <c r="D65" s="343">
        <v>3575</v>
      </c>
      <c r="E65" s="343">
        <v>1321</v>
      </c>
      <c r="F65" s="343">
        <v>1538</v>
      </c>
      <c r="G65" s="343">
        <v>799</v>
      </c>
      <c r="H65" s="343">
        <v>259</v>
      </c>
      <c r="I65" s="344">
        <f t="shared" si="0"/>
        <v>7609</v>
      </c>
      <c r="K65" s="89" t="s">
        <v>34</v>
      </c>
      <c r="L65" s="345">
        <v>69</v>
      </c>
      <c r="M65" s="346">
        <v>5092</v>
      </c>
      <c r="N65" s="346">
        <v>20055</v>
      </c>
      <c r="O65" s="346">
        <v>9843</v>
      </c>
      <c r="P65" s="346">
        <v>3631</v>
      </c>
      <c r="Q65" s="346">
        <v>465</v>
      </c>
      <c r="R65" s="347">
        <f t="shared" si="1"/>
        <v>39155</v>
      </c>
    </row>
    <row r="66" spans="2:18" ht="12.75">
      <c r="B66" s="93" t="s">
        <v>165</v>
      </c>
      <c r="C66" s="342">
        <v>39</v>
      </c>
      <c r="D66" s="343">
        <v>1680</v>
      </c>
      <c r="E66" s="343">
        <v>566</v>
      </c>
      <c r="F66" s="343">
        <v>683</v>
      </c>
      <c r="G66" s="343">
        <v>385</v>
      </c>
      <c r="H66" s="343">
        <v>67</v>
      </c>
      <c r="I66" s="344">
        <f t="shared" si="0"/>
        <v>3420</v>
      </c>
      <c r="K66" s="89" t="s">
        <v>35</v>
      </c>
      <c r="L66" s="345">
        <v>72</v>
      </c>
      <c r="M66" s="346">
        <v>4115</v>
      </c>
      <c r="N66" s="346">
        <v>39919</v>
      </c>
      <c r="O66" s="346">
        <v>16820</v>
      </c>
      <c r="P66" s="346">
        <v>4561</v>
      </c>
      <c r="Q66" s="346">
        <v>146</v>
      </c>
      <c r="R66" s="347">
        <f t="shared" si="1"/>
        <v>65633</v>
      </c>
    </row>
    <row r="67" spans="2:18" ht="13.5" thickBot="1">
      <c r="B67" s="93" t="s">
        <v>45</v>
      </c>
      <c r="C67" s="342">
        <v>25</v>
      </c>
      <c r="D67" s="343">
        <v>797</v>
      </c>
      <c r="E67" s="343">
        <v>304</v>
      </c>
      <c r="F67" s="343">
        <v>394</v>
      </c>
      <c r="G67" s="343">
        <v>215</v>
      </c>
      <c r="H67" s="343">
        <v>50</v>
      </c>
      <c r="I67" s="344">
        <f t="shared" si="0"/>
        <v>1785</v>
      </c>
      <c r="K67" s="89" t="s">
        <v>36</v>
      </c>
      <c r="L67" s="348">
        <v>64</v>
      </c>
      <c r="M67" s="349">
        <v>2133</v>
      </c>
      <c r="N67" s="349">
        <v>52210</v>
      </c>
      <c r="O67" s="349">
        <v>11689</v>
      </c>
      <c r="P67" s="349">
        <v>1509</v>
      </c>
      <c r="Q67" s="349">
        <v>1</v>
      </c>
      <c r="R67" s="350">
        <f t="shared" si="1"/>
        <v>67606</v>
      </c>
    </row>
    <row r="68" spans="2:18" ht="13.5" thickTop="1">
      <c r="B68" s="93" t="s">
        <v>46</v>
      </c>
      <c r="C68" s="342">
        <v>1</v>
      </c>
      <c r="D68" s="343">
        <v>62</v>
      </c>
      <c r="E68" s="343">
        <v>29</v>
      </c>
      <c r="F68" s="343">
        <v>62</v>
      </c>
      <c r="G68" s="343">
        <v>29</v>
      </c>
      <c r="H68" s="343">
        <v>4</v>
      </c>
      <c r="I68" s="344">
        <f t="shared" si="0"/>
        <v>187</v>
      </c>
      <c r="K68" s="118" t="s">
        <v>84</v>
      </c>
      <c r="L68" s="351">
        <f aca="true" t="shared" si="2" ref="L68:R68">SUM(L60:L67)</f>
        <v>774</v>
      </c>
      <c r="M68" s="352">
        <f t="shared" si="2"/>
        <v>26227</v>
      </c>
      <c r="N68" s="352">
        <f t="shared" si="2"/>
        <v>121541</v>
      </c>
      <c r="O68" s="352">
        <f t="shared" si="2"/>
        <v>46086</v>
      </c>
      <c r="P68" s="352">
        <f t="shared" si="2"/>
        <v>12915</v>
      </c>
      <c r="Q68" s="352">
        <f t="shared" si="2"/>
        <v>1546</v>
      </c>
      <c r="R68" s="125">
        <f t="shared" si="2"/>
        <v>209089</v>
      </c>
    </row>
    <row r="69" spans="2:9" ht="13.5" thickBot="1">
      <c r="B69" s="115" t="s">
        <v>47</v>
      </c>
      <c r="C69" s="353">
        <v>1</v>
      </c>
      <c r="D69" s="354">
        <v>28</v>
      </c>
      <c r="E69" s="354">
        <v>19</v>
      </c>
      <c r="F69" s="354">
        <v>43</v>
      </c>
      <c r="G69" s="354">
        <v>8</v>
      </c>
      <c r="H69" s="354">
        <v>2</v>
      </c>
      <c r="I69" s="355">
        <f t="shared" si="0"/>
        <v>101</v>
      </c>
    </row>
    <row r="70" spans="2:9" ht="13.5" thickTop="1">
      <c r="B70" s="124" t="s">
        <v>84</v>
      </c>
      <c r="C70" s="356">
        <f>SUM(C60:C69)</f>
        <v>774</v>
      </c>
      <c r="D70" s="357">
        <f aca="true" t="shared" si="3" ref="D70:I70">SUM(D60:D69)</f>
        <v>26227</v>
      </c>
      <c r="E70" s="357">
        <f t="shared" si="3"/>
        <v>121541</v>
      </c>
      <c r="F70" s="357">
        <f t="shared" si="3"/>
        <v>46086</v>
      </c>
      <c r="G70" s="357">
        <f t="shared" si="3"/>
        <v>12915</v>
      </c>
      <c r="H70" s="357">
        <f t="shared" si="3"/>
        <v>1546</v>
      </c>
      <c r="I70" s="358">
        <f t="shared" si="3"/>
        <v>209089</v>
      </c>
    </row>
  </sheetData>
  <sheetProtection/>
  <mergeCells count="18">
    <mergeCell ref="A6:R6"/>
    <mergeCell ref="C7:I7"/>
    <mergeCell ref="C32:I32"/>
    <mergeCell ref="C33:H33"/>
    <mergeCell ref="L7:R7"/>
    <mergeCell ref="L8:Q8"/>
    <mergeCell ref="L32:R32"/>
    <mergeCell ref="L33:Q33"/>
    <mergeCell ref="C58:H58"/>
    <mergeCell ref="L58:Q58"/>
    <mergeCell ref="A1:R1"/>
    <mergeCell ref="A5:R5"/>
    <mergeCell ref="A4:R4"/>
    <mergeCell ref="A3:R3"/>
    <mergeCell ref="A2:R2"/>
    <mergeCell ref="C57:I57"/>
    <mergeCell ref="L57:R57"/>
    <mergeCell ref="C8:H8"/>
  </mergeCells>
  <printOptions/>
  <pageMargins left="0.7" right="0.7" top="0.75" bottom="0.75" header="0.3" footer="0.3"/>
  <pageSetup horizontalDpi="600" verticalDpi="600" orientation="landscape" scale="51" r:id="rId1"/>
  <headerFooter>
    <oddFooter>&amp;L&amp;F&amp;R&amp;"Arial,Italic"&amp;A</oddFooter>
  </headerFooter>
</worksheet>
</file>

<file path=xl/worksheets/sheet4.xml><?xml version="1.0" encoding="utf-8"?>
<worksheet xmlns="http://schemas.openxmlformats.org/spreadsheetml/2006/main" xmlns:r="http://schemas.openxmlformats.org/officeDocument/2006/relationships">
  <dimension ref="A1:AB72"/>
  <sheetViews>
    <sheetView zoomScaleSheetLayoutView="85" zoomScalePageLayoutView="0" workbookViewId="0" topLeftCell="A4">
      <selection activeCell="A37" sqref="A37"/>
    </sheetView>
  </sheetViews>
  <sheetFormatPr defaultColWidth="9.140625" defaultRowHeight="12.75"/>
  <cols>
    <col min="1" max="1" width="19.28125" style="8" bestFit="1" customWidth="1"/>
    <col min="2" max="2" width="10.7109375" style="8" customWidth="1"/>
    <col min="3" max="3" width="10.7109375" style="184" customWidth="1"/>
    <col min="4" max="5" width="9.28125" style="185" customWidth="1"/>
    <col min="6" max="6" width="2.7109375" style="186" customWidth="1"/>
    <col min="7" max="7" width="10.7109375" style="187" customWidth="1"/>
    <col min="8" max="9" width="9.28125" style="188" customWidth="1"/>
    <col min="10" max="10" width="2.7109375" style="186" customWidth="1"/>
    <col min="11" max="11" width="10.7109375" style="187" customWidth="1"/>
    <col min="12" max="13" width="9.28125" style="188" customWidth="1"/>
    <col min="14" max="14" width="2.7109375" style="186" customWidth="1"/>
    <col min="15" max="15" width="10.7109375" style="187" customWidth="1"/>
    <col min="16" max="17" width="9.28125" style="188" customWidth="1"/>
    <col min="18" max="21" width="9.140625" style="189" customWidth="1"/>
    <col min="22" max="16384" width="9.140625" style="186" customWidth="1"/>
  </cols>
  <sheetData>
    <row r="1" spans="8:12" ht="27.75" customHeight="1">
      <c r="H1" s="674" t="s">
        <v>86</v>
      </c>
      <c r="I1" s="674"/>
      <c r="J1" s="674"/>
      <c r="K1" s="674"/>
      <c r="L1" s="674"/>
    </row>
    <row r="2" spans="3:17" ht="18">
      <c r="C2" s="9" t="s">
        <v>80</v>
      </c>
      <c r="D2" s="190"/>
      <c r="E2" s="190"/>
      <c r="F2" s="191"/>
      <c r="G2" s="192"/>
      <c r="H2" s="190"/>
      <c r="I2" s="190"/>
      <c r="J2" s="191"/>
      <c r="K2" s="192"/>
      <c r="L2" s="190"/>
      <c r="M2" s="190"/>
      <c r="N2" s="191"/>
      <c r="O2" s="192"/>
      <c r="P2" s="190"/>
      <c r="Q2" s="190"/>
    </row>
    <row r="3" spans="3:17" ht="18">
      <c r="C3" s="9"/>
      <c r="D3" s="190"/>
      <c r="E3" s="190"/>
      <c r="F3" s="191"/>
      <c r="G3" s="192"/>
      <c r="H3" s="675" t="s">
        <v>150</v>
      </c>
      <c r="I3" s="675"/>
      <c r="J3" s="675"/>
      <c r="K3" s="675"/>
      <c r="L3" s="675"/>
      <c r="M3" s="190"/>
      <c r="N3" s="191"/>
      <c r="O3" s="192"/>
      <c r="P3" s="190"/>
      <c r="Q3" s="190"/>
    </row>
    <row r="4" spans="3:17" ht="15.75">
      <c r="C4" s="10" t="s">
        <v>1</v>
      </c>
      <c r="D4" s="190"/>
      <c r="E4" s="190"/>
      <c r="F4" s="191"/>
      <c r="G4" s="192"/>
      <c r="H4" s="190"/>
      <c r="I4" s="190"/>
      <c r="J4" s="191"/>
      <c r="K4" s="192"/>
      <c r="L4" s="190"/>
      <c r="M4" s="190"/>
      <c r="N4" s="191"/>
      <c r="O4" s="192"/>
      <c r="P4" s="190"/>
      <c r="Q4" s="190"/>
    </row>
    <row r="5" spans="3:12" ht="15.75">
      <c r="C5" s="11"/>
      <c r="F5" s="191"/>
      <c r="G5" s="192"/>
      <c r="H5" s="675" t="s">
        <v>151</v>
      </c>
      <c r="I5" s="676"/>
      <c r="J5" s="675"/>
      <c r="K5" s="675"/>
      <c r="L5" s="675"/>
    </row>
    <row r="6" spans="1:28" ht="15.75" customHeight="1">
      <c r="A6" s="666"/>
      <c r="B6" s="666"/>
      <c r="C6" s="673" t="s">
        <v>132</v>
      </c>
      <c r="D6" s="673"/>
      <c r="E6" s="673"/>
      <c r="F6" s="191"/>
      <c r="G6" s="673" t="s">
        <v>67</v>
      </c>
      <c r="H6" s="673"/>
      <c r="I6" s="673"/>
      <c r="J6" s="191"/>
      <c r="K6" s="673" t="s">
        <v>130</v>
      </c>
      <c r="L6" s="673"/>
      <c r="M6" s="673"/>
      <c r="O6" s="673" t="s">
        <v>68</v>
      </c>
      <c r="P6" s="673"/>
      <c r="Q6" s="673"/>
      <c r="R6" s="666"/>
      <c r="S6" s="666"/>
      <c r="T6" s="666"/>
      <c r="U6" s="666"/>
      <c r="V6" s="666"/>
      <c r="W6" s="666"/>
      <c r="X6" s="666"/>
      <c r="Y6" s="666"/>
      <c r="Z6" s="666"/>
      <c r="AA6" s="666"/>
      <c r="AB6" s="666"/>
    </row>
    <row r="7" spans="3:21" s="12" customFormat="1" ht="39.75" customHeight="1">
      <c r="C7" s="13" t="s">
        <v>2</v>
      </c>
      <c r="D7" s="367" t="s">
        <v>257</v>
      </c>
      <c r="E7" s="2" t="s">
        <v>70</v>
      </c>
      <c r="G7" s="13" t="s">
        <v>2</v>
      </c>
      <c r="H7" s="367" t="s">
        <v>257</v>
      </c>
      <c r="I7" s="2" t="s">
        <v>70</v>
      </c>
      <c r="K7" s="13" t="s">
        <v>2</v>
      </c>
      <c r="L7" s="367" t="s">
        <v>257</v>
      </c>
      <c r="M7" s="2" t="s">
        <v>70</v>
      </c>
      <c r="O7" s="13" t="s">
        <v>2</v>
      </c>
      <c r="P7" s="367" t="s">
        <v>257</v>
      </c>
      <c r="Q7" s="2" t="s">
        <v>70</v>
      </c>
      <c r="R7" s="47"/>
      <c r="S7" s="47"/>
      <c r="T7" s="47"/>
      <c r="U7" s="47"/>
    </row>
    <row r="8" spans="1:21" s="195" customFormat="1" ht="12.75">
      <c r="A8" s="8" t="s">
        <v>10</v>
      </c>
      <c r="B8" s="14"/>
      <c r="C8" s="3">
        <v>26348</v>
      </c>
      <c r="D8" s="48">
        <v>0.6380021917641762</v>
      </c>
      <c r="E8" s="48">
        <v>0.5947454051173428</v>
      </c>
      <c r="F8" s="49"/>
      <c r="G8" s="3">
        <v>5966</v>
      </c>
      <c r="H8" s="48">
        <v>0.7912901916677382</v>
      </c>
      <c r="I8" s="48">
        <v>0.7664942916328251</v>
      </c>
      <c r="J8" s="49"/>
      <c r="K8" s="3">
        <v>9888</v>
      </c>
      <c r="L8" s="48">
        <v>0.6373217327629302</v>
      </c>
      <c r="M8" s="48">
        <v>0.6558215533773386</v>
      </c>
      <c r="N8" s="49"/>
      <c r="O8" s="3">
        <v>1940</v>
      </c>
      <c r="P8" s="48">
        <v>0.7911668875973026</v>
      </c>
      <c r="Q8" s="50">
        <v>0.7838616025329467</v>
      </c>
      <c r="R8" s="194"/>
      <c r="S8" s="194"/>
      <c r="T8" s="194"/>
      <c r="U8" s="194"/>
    </row>
    <row r="9" spans="1:21" s="195" customFormat="1" ht="12.75">
      <c r="A9" s="8"/>
      <c r="B9" s="8"/>
      <c r="C9" s="196"/>
      <c r="D9" s="193"/>
      <c r="E9" s="193"/>
      <c r="G9" s="196"/>
      <c r="H9" s="193"/>
      <c r="I9" s="193"/>
      <c r="K9" s="196"/>
      <c r="L9" s="193"/>
      <c r="M9" s="193"/>
      <c r="O9" s="196"/>
      <c r="P9" s="193"/>
      <c r="Q9" s="193"/>
      <c r="R9" s="194"/>
      <c r="S9" s="194"/>
      <c r="T9" s="194"/>
      <c r="U9" s="194"/>
    </row>
    <row r="10" spans="1:21" s="195" customFormat="1" ht="12.75">
      <c r="A10" s="12" t="s">
        <v>11</v>
      </c>
      <c r="B10" s="197" t="s">
        <v>16</v>
      </c>
      <c r="C10" s="198">
        <v>352</v>
      </c>
      <c r="D10" s="213">
        <v>0.8483744049780202</v>
      </c>
      <c r="E10" s="213">
        <v>0.7511002949381418</v>
      </c>
      <c r="F10" s="200"/>
      <c r="G10" s="198">
        <v>83</v>
      </c>
      <c r="H10" s="213">
        <v>0.7390150532024049</v>
      </c>
      <c r="I10" s="213">
        <v>0.6922531776492333</v>
      </c>
      <c r="J10" s="200"/>
      <c r="K10" s="198">
        <v>118</v>
      </c>
      <c r="L10" s="213">
        <v>0.5494846043959928</v>
      </c>
      <c r="M10" s="213">
        <v>0.6047984586100796</v>
      </c>
      <c r="N10" s="200"/>
      <c r="O10" s="198">
        <v>26</v>
      </c>
      <c r="P10" s="213">
        <v>0.6399237604676784</v>
      </c>
      <c r="Q10" s="255">
        <v>0.6791327624280802</v>
      </c>
      <c r="R10" s="189"/>
      <c r="S10" s="194"/>
      <c r="T10" s="194"/>
      <c r="U10" s="194"/>
    </row>
    <row r="11" spans="1:21" s="195" customFormat="1" ht="12.75">
      <c r="A11" s="8"/>
      <c r="B11" s="202" t="s">
        <v>17</v>
      </c>
      <c r="C11" s="203">
        <v>1039</v>
      </c>
      <c r="D11" s="206">
        <v>0.6756947681877417</v>
      </c>
      <c r="E11" s="206">
        <v>0.67820995004013</v>
      </c>
      <c r="F11" s="194"/>
      <c r="G11" s="203">
        <v>243</v>
      </c>
      <c r="H11" s="206">
        <v>0.6805328263970549</v>
      </c>
      <c r="I11" s="206">
        <v>0.5874942182617786</v>
      </c>
      <c r="J11" s="194"/>
      <c r="K11" s="203">
        <v>450</v>
      </c>
      <c r="L11" s="206">
        <v>0.605310835857586</v>
      </c>
      <c r="M11" s="206">
        <v>0.5578635779939392</v>
      </c>
      <c r="N11" s="194"/>
      <c r="O11" s="203">
        <v>65</v>
      </c>
      <c r="P11" s="206">
        <v>0.5928396462699125</v>
      </c>
      <c r="Q11" s="207">
        <v>0.5700727103564146</v>
      </c>
      <c r="R11" s="189"/>
      <c r="S11" s="194"/>
      <c r="T11" s="194"/>
      <c r="U11" s="194"/>
    </row>
    <row r="12" spans="1:21" s="195" customFormat="1" ht="12.75">
      <c r="A12" s="8"/>
      <c r="B12" s="202" t="s">
        <v>18</v>
      </c>
      <c r="C12" s="203">
        <v>2116</v>
      </c>
      <c r="D12" s="206">
        <v>0.6358996211531776</v>
      </c>
      <c r="E12" s="206">
        <v>0.6221345938053824</v>
      </c>
      <c r="F12" s="194"/>
      <c r="G12" s="203">
        <v>575</v>
      </c>
      <c r="H12" s="206">
        <v>0.7179569178651412</v>
      </c>
      <c r="I12" s="206">
        <v>0.7167761619773502</v>
      </c>
      <c r="J12" s="194"/>
      <c r="K12" s="203">
        <v>886</v>
      </c>
      <c r="L12" s="206">
        <v>0.6165912370053356</v>
      </c>
      <c r="M12" s="206">
        <v>0.6272771623997814</v>
      </c>
      <c r="N12" s="194"/>
      <c r="O12" s="203">
        <v>149</v>
      </c>
      <c r="P12" s="206">
        <v>0.6485646328825979</v>
      </c>
      <c r="Q12" s="207">
        <v>0.6198201818138173</v>
      </c>
      <c r="R12" s="189"/>
      <c r="S12" s="194"/>
      <c r="T12" s="194"/>
      <c r="U12" s="194"/>
    </row>
    <row r="13" spans="1:21" s="195" customFormat="1" ht="12.75">
      <c r="A13" s="8"/>
      <c r="B13" s="202" t="s">
        <v>19</v>
      </c>
      <c r="C13" s="203">
        <v>2906</v>
      </c>
      <c r="D13" s="206">
        <v>0.6057692900184594</v>
      </c>
      <c r="E13" s="206">
        <v>0.5546258006059196</v>
      </c>
      <c r="F13" s="194"/>
      <c r="G13" s="203">
        <v>807</v>
      </c>
      <c r="H13" s="206">
        <v>0.6901965592564003</v>
      </c>
      <c r="I13" s="206">
        <v>0.6369500223016649</v>
      </c>
      <c r="J13" s="194"/>
      <c r="K13" s="203">
        <v>1159</v>
      </c>
      <c r="L13" s="206">
        <v>0.6019138669358121</v>
      </c>
      <c r="M13" s="206">
        <v>0.6627673389644303</v>
      </c>
      <c r="N13" s="194"/>
      <c r="O13" s="203">
        <v>238</v>
      </c>
      <c r="P13" s="206">
        <v>0.7012852909299735</v>
      </c>
      <c r="Q13" s="207">
        <v>0.6031227220052633</v>
      </c>
      <c r="R13" s="189"/>
      <c r="S13" s="194"/>
      <c r="T13" s="194"/>
      <c r="U13" s="194"/>
    </row>
    <row r="14" spans="1:21" s="195" customFormat="1" ht="12.75">
      <c r="A14" s="8"/>
      <c r="B14" s="202" t="s">
        <v>20</v>
      </c>
      <c r="C14" s="203">
        <v>6868</v>
      </c>
      <c r="D14" s="206">
        <v>0.6037805908067172</v>
      </c>
      <c r="E14" s="206">
        <v>0.5710435422062758</v>
      </c>
      <c r="F14" s="194"/>
      <c r="G14" s="203">
        <v>2018</v>
      </c>
      <c r="H14" s="206">
        <v>0.7919484570432457</v>
      </c>
      <c r="I14" s="206">
        <v>0.7134810664445097</v>
      </c>
      <c r="J14" s="194"/>
      <c r="K14" s="203">
        <v>2133</v>
      </c>
      <c r="L14" s="206">
        <v>0.5427435024512411</v>
      </c>
      <c r="M14" s="206">
        <v>0.5603556633892282</v>
      </c>
      <c r="N14" s="194"/>
      <c r="O14" s="203">
        <v>536</v>
      </c>
      <c r="P14" s="206">
        <v>0.7364571371916085</v>
      </c>
      <c r="Q14" s="207">
        <v>0.6559893844570397</v>
      </c>
      <c r="R14" s="189"/>
      <c r="S14" s="194"/>
      <c r="T14" s="194"/>
      <c r="U14" s="194"/>
    </row>
    <row r="15" spans="1:21" s="195" customFormat="1" ht="12.75">
      <c r="A15" s="8"/>
      <c r="B15" s="202" t="s">
        <v>21</v>
      </c>
      <c r="C15" s="203">
        <v>6909</v>
      </c>
      <c r="D15" s="206">
        <v>0.6096161443550284</v>
      </c>
      <c r="E15" s="206">
        <v>0.575881391940167</v>
      </c>
      <c r="F15" s="194"/>
      <c r="G15" s="203">
        <v>1514</v>
      </c>
      <c r="H15" s="206">
        <v>0.8656627593561942</v>
      </c>
      <c r="I15" s="206">
        <v>0.8775803515489408</v>
      </c>
      <c r="J15" s="194"/>
      <c r="K15" s="203">
        <v>1579</v>
      </c>
      <c r="L15" s="206">
        <v>0.5678331809827367</v>
      </c>
      <c r="M15" s="206">
        <v>0.5148480636814718</v>
      </c>
      <c r="N15" s="194"/>
      <c r="O15" s="203">
        <v>370</v>
      </c>
      <c r="P15" s="206">
        <v>0.7591577091870333</v>
      </c>
      <c r="Q15" s="207">
        <v>0.698864910904239</v>
      </c>
      <c r="R15" s="189"/>
      <c r="S15" s="194"/>
      <c r="T15" s="194"/>
      <c r="U15" s="194"/>
    </row>
    <row r="16" spans="1:21" s="195" customFormat="1" ht="12.75">
      <c r="A16" s="8"/>
      <c r="B16" s="202" t="s">
        <v>22</v>
      </c>
      <c r="C16" s="203">
        <v>4644</v>
      </c>
      <c r="D16" s="206">
        <v>0.7054380438495889</v>
      </c>
      <c r="E16" s="206">
        <v>0.6459753325858322</v>
      </c>
      <c r="F16" s="194"/>
      <c r="G16" s="203">
        <v>628</v>
      </c>
      <c r="H16" s="206">
        <v>0.9282568464226679</v>
      </c>
      <c r="I16" s="206">
        <v>1.0159648051107986</v>
      </c>
      <c r="J16" s="194"/>
      <c r="K16" s="203">
        <v>1673</v>
      </c>
      <c r="L16" s="206">
        <v>0.7378780398833126</v>
      </c>
      <c r="M16" s="206">
        <v>0.691565695100233</v>
      </c>
      <c r="N16" s="194"/>
      <c r="O16" s="203">
        <v>356</v>
      </c>
      <c r="P16" s="206">
        <v>1.0132924327520394</v>
      </c>
      <c r="Q16" s="207">
        <v>0.957777457869244</v>
      </c>
      <c r="R16" s="189"/>
      <c r="S16" s="194"/>
      <c r="T16" s="194"/>
      <c r="U16" s="194"/>
    </row>
    <row r="17" spans="1:21" s="195" customFormat="1" ht="12.75">
      <c r="A17" s="8"/>
      <c r="B17" s="202" t="s">
        <v>23</v>
      </c>
      <c r="C17" s="203">
        <v>1347</v>
      </c>
      <c r="D17" s="206">
        <v>0.8053720022545875</v>
      </c>
      <c r="E17" s="206">
        <v>0.7087525912448844</v>
      </c>
      <c r="F17" s="194"/>
      <c r="G17" s="203">
        <v>87</v>
      </c>
      <c r="H17" s="206">
        <v>0.782864940140526</v>
      </c>
      <c r="I17" s="206">
        <v>0.5811859423623905</v>
      </c>
      <c r="J17" s="194"/>
      <c r="K17" s="203">
        <v>1482</v>
      </c>
      <c r="L17" s="206">
        <v>0.8586820384889127</v>
      </c>
      <c r="M17" s="206">
        <v>0.8934645208387708</v>
      </c>
      <c r="N17" s="194"/>
      <c r="O17" s="203">
        <v>176</v>
      </c>
      <c r="P17" s="206">
        <v>1.1982619754710337</v>
      </c>
      <c r="Q17" s="207">
        <v>1.19688057221216</v>
      </c>
      <c r="R17" s="189"/>
      <c r="S17" s="194"/>
      <c r="T17" s="194"/>
      <c r="U17" s="194"/>
    </row>
    <row r="18" spans="1:21" s="195" customFormat="1" ht="12.75">
      <c r="A18" s="8"/>
      <c r="B18" s="208" t="s">
        <v>24</v>
      </c>
      <c r="C18" s="209">
        <v>167</v>
      </c>
      <c r="D18" s="210">
        <v>0.6516208835362686</v>
      </c>
      <c r="E18" s="210">
        <v>0.4221646965823168</v>
      </c>
      <c r="F18" s="211"/>
      <c r="G18" s="209">
        <v>11</v>
      </c>
      <c r="H18" s="210">
        <v>0.7178750897343863</v>
      </c>
      <c r="I18" s="210">
        <v>0.3819742483628875</v>
      </c>
      <c r="J18" s="211"/>
      <c r="K18" s="209">
        <v>408</v>
      </c>
      <c r="L18" s="210">
        <v>0.8321257142896782</v>
      </c>
      <c r="M18" s="210">
        <v>0.6802030561236977</v>
      </c>
      <c r="N18" s="211"/>
      <c r="O18" s="209">
        <v>24</v>
      </c>
      <c r="P18" s="210">
        <v>1.2443434221932794</v>
      </c>
      <c r="Q18" s="212">
        <v>1.3838491533813362</v>
      </c>
      <c r="R18" s="189"/>
      <c r="S18" s="194"/>
      <c r="T18" s="194"/>
      <c r="U18" s="194"/>
    </row>
    <row r="19" spans="1:21" s="195" customFormat="1" ht="12.75">
      <c r="A19" s="8"/>
      <c r="B19" s="8"/>
      <c r="C19" s="196"/>
      <c r="D19" s="193"/>
      <c r="E19" s="193"/>
      <c r="G19" s="196"/>
      <c r="H19" s="193"/>
      <c r="I19" s="193"/>
      <c r="J19" s="196"/>
      <c r="K19" s="196"/>
      <c r="L19" s="193"/>
      <c r="M19" s="193"/>
      <c r="O19" s="196"/>
      <c r="P19" s="193"/>
      <c r="Q19" s="193"/>
      <c r="R19" s="189"/>
      <c r="S19" s="194"/>
      <c r="T19" s="194"/>
      <c r="U19" s="194"/>
    </row>
    <row r="20" spans="1:21" s="195" customFormat="1" ht="12.75">
      <c r="A20" s="8" t="s">
        <v>28</v>
      </c>
      <c r="B20" s="197" t="s">
        <v>29</v>
      </c>
      <c r="C20" s="198">
        <v>544</v>
      </c>
      <c r="D20" s="213">
        <v>0.6824368198047673</v>
      </c>
      <c r="E20" s="213">
        <v>0.46948652337894303</v>
      </c>
      <c r="F20" s="200"/>
      <c r="G20" s="198">
        <v>146</v>
      </c>
      <c r="H20" s="213">
        <v>0.8302255791136164</v>
      </c>
      <c r="I20" s="213">
        <v>0.6704043588053946</v>
      </c>
      <c r="J20" s="200"/>
      <c r="K20" s="198">
        <v>192</v>
      </c>
      <c r="L20" s="213">
        <v>0.47200444529853264</v>
      </c>
      <c r="M20" s="213">
        <v>0.5733516498477761</v>
      </c>
      <c r="N20" s="200"/>
      <c r="O20" s="198">
        <v>32</v>
      </c>
      <c r="P20" s="199">
        <v>0.501093793796773</v>
      </c>
      <c r="Q20" s="201">
        <v>0.30312651527438533</v>
      </c>
      <c r="R20" s="189"/>
      <c r="S20" s="194"/>
      <c r="T20" s="194"/>
      <c r="U20" s="194"/>
    </row>
    <row r="21" spans="1:21" s="195" customFormat="1" ht="12.75">
      <c r="A21" s="8"/>
      <c r="B21" s="202" t="s">
        <v>30</v>
      </c>
      <c r="C21" s="203">
        <v>801</v>
      </c>
      <c r="D21" s="206">
        <v>0.7101758769621402</v>
      </c>
      <c r="E21" s="206">
        <v>0.5686799956498796</v>
      </c>
      <c r="F21" s="194"/>
      <c r="G21" s="203">
        <v>166</v>
      </c>
      <c r="H21" s="206">
        <v>0.7403738245562027</v>
      </c>
      <c r="I21" s="206">
        <v>0.6368958780174977</v>
      </c>
      <c r="J21" s="194"/>
      <c r="K21" s="203">
        <v>313</v>
      </c>
      <c r="L21" s="206">
        <v>0.5449738541393638</v>
      </c>
      <c r="M21" s="206">
        <v>0.4980261859217648</v>
      </c>
      <c r="N21" s="194"/>
      <c r="O21" s="203">
        <v>55</v>
      </c>
      <c r="P21" s="204">
        <v>0.6669439536680063</v>
      </c>
      <c r="Q21" s="205">
        <v>0.6232105967694287</v>
      </c>
      <c r="R21" s="189"/>
      <c r="S21" s="194"/>
      <c r="T21" s="194"/>
      <c r="U21" s="194"/>
    </row>
    <row r="22" spans="1:21" s="195" customFormat="1" ht="12.75">
      <c r="A22" s="8"/>
      <c r="B22" s="202" t="s">
        <v>31</v>
      </c>
      <c r="C22" s="203">
        <v>1139</v>
      </c>
      <c r="D22" s="206">
        <v>0.7785676392427904</v>
      </c>
      <c r="E22" s="206">
        <v>0.7099148391733238</v>
      </c>
      <c r="F22" s="194"/>
      <c r="G22" s="203">
        <v>249</v>
      </c>
      <c r="H22" s="206">
        <v>0.9677659697805947</v>
      </c>
      <c r="I22" s="206">
        <v>0.7979004157644478</v>
      </c>
      <c r="J22" s="194"/>
      <c r="K22" s="203">
        <v>455</v>
      </c>
      <c r="L22" s="206">
        <v>0.6703635472863166</v>
      </c>
      <c r="M22" s="206">
        <v>0.6031420922102424</v>
      </c>
      <c r="N22" s="194"/>
      <c r="O22" s="203">
        <v>67</v>
      </c>
      <c r="P22" s="204">
        <v>0.7468493824391668</v>
      </c>
      <c r="Q22" s="205">
        <v>0.6810100258564943</v>
      </c>
      <c r="R22" s="189"/>
      <c r="S22" s="194"/>
      <c r="T22" s="194"/>
      <c r="U22" s="194"/>
    </row>
    <row r="23" spans="1:21" s="195" customFormat="1" ht="12.75">
      <c r="A23" s="8"/>
      <c r="B23" s="202" t="s">
        <v>32</v>
      </c>
      <c r="C23" s="203">
        <v>2406</v>
      </c>
      <c r="D23" s="206">
        <v>0.7143902068967497</v>
      </c>
      <c r="E23" s="206">
        <v>0.6308666874066237</v>
      </c>
      <c r="F23" s="194"/>
      <c r="G23" s="203">
        <v>511</v>
      </c>
      <c r="H23" s="206">
        <v>0.8473423397698844</v>
      </c>
      <c r="I23" s="206">
        <v>0.7834180830567605</v>
      </c>
      <c r="J23" s="194"/>
      <c r="K23" s="203">
        <v>1082</v>
      </c>
      <c r="L23" s="206">
        <v>0.7178689075570375</v>
      </c>
      <c r="M23" s="206">
        <v>0.775623635798194</v>
      </c>
      <c r="N23" s="194"/>
      <c r="O23" s="203">
        <v>178</v>
      </c>
      <c r="P23" s="204">
        <v>0.855861606216631</v>
      </c>
      <c r="Q23" s="205">
        <v>0.7069360554431653</v>
      </c>
      <c r="R23" s="189"/>
      <c r="S23" s="194"/>
      <c r="T23" s="194"/>
      <c r="U23" s="194"/>
    </row>
    <row r="24" spans="2:21" s="195" customFormat="1" ht="12.75">
      <c r="B24" s="202" t="s">
        <v>33</v>
      </c>
      <c r="C24" s="203">
        <v>5881</v>
      </c>
      <c r="D24" s="206">
        <v>0.6203111011109939</v>
      </c>
      <c r="E24" s="206">
        <v>0.5696040845938889</v>
      </c>
      <c r="F24" s="194"/>
      <c r="G24" s="203">
        <v>1317</v>
      </c>
      <c r="H24" s="206">
        <v>0.7840241150339681</v>
      </c>
      <c r="I24" s="206">
        <v>0.7646718802566679</v>
      </c>
      <c r="J24" s="194"/>
      <c r="K24" s="203">
        <v>2743</v>
      </c>
      <c r="L24" s="206">
        <v>0.6486705128925805</v>
      </c>
      <c r="M24" s="206">
        <v>0.6425784858058804</v>
      </c>
      <c r="N24" s="194"/>
      <c r="O24" s="203">
        <v>493</v>
      </c>
      <c r="P24" s="204">
        <v>0.8552214365190812</v>
      </c>
      <c r="Q24" s="205">
        <v>0.8898710604361435</v>
      </c>
      <c r="R24" s="194"/>
      <c r="S24" s="194"/>
      <c r="T24" s="194"/>
      <c r="U24" s="194"/>
    </row>
    <row r="25" spans="1:21" s="195" customFormat="1" ht="12.75">
      <c r="A25" s="8"/>
      <c r="B25" s="202" t="s">
        <v>34</v>
      </c>
      <c r="C25" s="203">
        <v>5195</v>
      </c>
      <c r="D25" s="206">
        <v>0.5968881096505995</v>
      </c>
      <c r="E25" s="206">
        <v>0.5778693446700787</v>
      </c>
      <c r="F25" s="194"/>
      <c r="G25" s="203">
        <v>1188</v>
      </c>
      <c r="H25" s="206">
        <v>0.7999140240556362</v>
      </c>
      <c r="I25" s="206">
        <v>0.8561952495791162</v>
      </c>
      <c r="J25" s="194"/>
      <c r="K25" s="203">
        <v>2434</v>
      </c>
      <c r="L25" s="206">
        <v>0.6363087724970306</v>
      </c>
      <c r="M25" s="206">
        <v>0.6956280004097439</v>
      </c>
      <c r="N25" s="194"/>
      <c r="O25" s="203">
        <v>451</v>
      </c>
      <c r="P25" s="204">
        <v>0.8078692121723934</v>
      </c>
      <c r="Q25" s="205">
        <v>0.8454038615258042</v>
      </c>
      <c r="R25" s="194"/>
      <c r="S25" s="194"/>
      <c r="T25" s="194"/>
      <c r="U25" s="194"/>
    </row>
    <row r="26" spans="1:21" s="195" customFormat="1" ht="12.75">
      <c r="A26" s="8"/>
      <c r="B26" s="202" t="s">
        <v>35</v>
      </c>
      <c r="C26" s="203">
        <v>6665</v>
      </c>
      <c r="D26" s="206">
        <v>0.6282587049671626</v>
      </c>
      <c r="E26" s="206">
        <v>0.6155157172015652</v>
      </c>
      <c r="F26" s="194"/>
      <c r="G26" s="203">
        <v>1514</v>
      </c>
      <c r="H26" s="206">
        <v>0.7682234020444557</v>
      </c>
      <c r="I26" s="206">
        <v>0.7227096336241262</v>
      </c>
      <c r="J26" s="194"/>
      <c r="K26" s="203">
        <v>1974</v>
      </c>
      <c r="L26" s="206">
        <v>0.6131410686115071</v>
      </c>
      <c r="M26" s="206">
        <v>0.6397471838698651</v>
      </c>
      <c r="N26" s="194"/>
      <c r="O26" s="203">
        <v>483</v>
      </c>
      <c r="P26" s="204">
        <v>0.7379742061055274</v>
      </c>
      <c r="Q26" s="205">
        <v>0.7504833782906344</v>
      </c>
      <c r="R26" s="194"/>
      <c r="S26" s="194"/>
      <c r="T26" s="194"/>
      <c r="U26" s="194"/>
    </row>
    <row r="27" spans="1:21" s="195" customFormat="1" ht="12.75">
      <c r="A27" s="8"/>
      <c r="B27" s="208" t="s">
        <v>36</v>
      </c>
      <c r="C27" s="209">
        <v>3717</v>
      </c>
      <c r="D27" s="210">
        <v>0.6465592536984154</v>
      </c>
      <c r="E27" s="210">
        <v>0.6048962887509942</v>
      </c>
      <c r="F27" s="211"/>
      <c r="G27" s="209">
        <v>875</v>
      </c>
      <c r="H27" s="210">
        <v>0.765243343491419</v>
      </c>
      <c r="I27" s="210">
        <v>0.7630852542255991</v>
      </c>
      <c r="J27" s="211"/>
      <c r="K27" s="209">
        <v>695</v>
      </c>
      <c r="L27" s="210">
        <v>0.6468048139997833</v>
      </c>
      <c r="M27" s="210">
        <v>0.6647245512816704</v>
      </c>
      <c r="N27" s="211"/>
      <c r="O27" s="209">
        <v>181</v>
      </c>
      <c r="P27" s="214">
        <v>0.827055857524868</v>
      </c>
      <c r="Q27" s="215">
        <v>0.8225518635860573</v>
      </c>
      <c r="R27" s="194"/>
      <c r="S27" s="194"/>
      <c r="T27" s="194"/>
      <c r="U27" s="194"/>
    </row>
    <row r="28" spans="1:21" s="195" customFormat="1" ht="12.75">
      <c r="A28" s="8"/>
      <c r="B28" s="8"/>
      <c r="C28" s="196"/>
      <c r="D28" s="193"/>
      <c r="E28" s="193"/>
      <c r="G28" s="196"/>
      <c r="H28" s="193"/>
      <c r="I28" s="193"/>
      <c r="K28" s="196"/>
      <c r="L28" s="193"/>
      <c r="M28" s="193"/>
      <c r="O28" s="196"/>
      <c r="P28" s="193"/>
      <c r="Q28" s="193"/>
      <c r="R28" s="194"/>
      <c r="S28" s="194"/>
      <c r="T28" s="194"/>
      <c r="U28" s="194"/>
    </row>
    <row r="29" spans="1:21" s="195" customFormat="1" ht="25.5">
      <c r="A29" s="12" t="s">
        <v>59</v>
      </c>
      <c r="B29" s="216" t="s">
        <v>42</v>
      </c>
      <c r="C29" s="198">
        <v>17741</v>
      </c>
      <c r="D29" s="199">
        <v>0.6621486666831143</v>
      </c>
      <c r="E29" s="199">
        <v>0.6539887363758242</v>
      </c>
      <c r="F29" s="200"/>
      <c r="G29" s="198">
        <v>4726</v>
      </c>
      <c r="H29" s="199">
        <v>0.8173677566247782</v>
      </c>
      <c r="I29" s="199">
        <v>0.8113592831441913</v>
      </c>
      <c r="J29" s="200"/>
      <c r="K29" s="198">
        <v>7165</v>
      </c>
      <c r="L29" s="199">
        <v>0.6478391762798691</v>
      </c>
      <c r="M29" s="199">
        <v>0.6439747301712966</v>
      </c>
      <c r="N29" s="200"/>
      <c r="O29" s="198">
        <v>1553</v>
      </c>
      <c r="P29" s="199">
        <v>0.7886078912584352</v>
      </c>
      <c r="Q29" s="201">
        <v>0.7933577819683909</v>
      </c>
      <c r="R29" s="194"/>
      <c r="S29" s="194"/>
      <c r="T29" s="194"/>
      <c r="U29" s="194"/>
    </row>
    <row r="30" spans="1:21" s="195" customFormat="1" ht="25.5">
      <c r="A30" s="8"/>
      <c r="B30" s="217" t="s">
        <v>43</v>
      </c>
      <c r="C30" s="203">
        <v>4822</v>
      </c>
      <c r="D30" s="204">
        <v>0.5978004558294315</v>
      </c>
      <c r="E30" s="204">
        <v>0.5954513631621859</v>
      </c>
      <c r="F30" s="194"/>
      <c r="G30" s="203">
        <v>819</v>
      </c>
      <c r="H30" s="204">
        <v>0.727492675707669</v>
      </c>
      <c r="I30" s="204">
        <v>0.7251963534039426</v>
      </c>
      <c r="J30" s="194"/>
      <c r="K30" s="203">
        <v>1618</v>
      </c>
      <c r="L30" s="204">
        <v>0.5859480219633164</v>
      </c>
      <c r="M30" s="204">
        <v>0.5919467601695297</v>
      </c>
      <c r="N30" s="194"/>
      <c r="O30" s="203">
        <v>239</v>
      </c>
      <c r="P30" s="204">
        <v>0.7639956409413535</v>
      </c>
      <c r="Q30" s="205">
        <v>0.7891936017651887</v>
      </c>
      <c r="R30" s="194"/>
      <c r="S30" s="194"/>
      <c r="T30" s="194"/>
      <c r="U30" s="194"/>
    </row>
    <row r="31" spans="1:21" s="195" customFormat="1" ht="25.5">
      <c r="A31" s="8"/>
      <c r="B31" s="217" t="s">
        <v>44</v>
      </c>
      <c r="C31" s="203">
        <v>2368</v>
      </c>
      <c r="D31" s="204">
        <v>0.5887171995671344</v>
      </c>
      <c r="E31" s="204">
        <v>0.5823601441534557</v>
      </c>
      <c r="F31" s="194"/>
      <c r="G31" s="203">
        <v>282</v>
      </c>
      <c r="H31" s="204">
        <v>0.656745447630366</v>
      </c>
      <c r="I31" s="204">
        <v>0.6643000189992387</v>
      </c>
      <c r="J31" s="194"/>
      <c r="K31" s="203">
        <v>654</v>
      </c>
      <c r="L31" s="204">
        <v>0.5991112761344</v>
      </c>
      <c r="M31" s="204">
        <v>0.6101527961076688</v>
      </c>
      <c r="N31" s="194"/>
      <c r="O31" s="203">
        <v>90</v>
      </c>
      <c r="P31" s="204">
        <v>0.8461505555683514</v>
      </c>
      <c r="Q31" s="205">
        <v>0.8589932483670418</v>
      </c>
      <c r="R31" s="194"/>
      <c r="S31" s="194"/>
      <c r="T31" s="194"/>
      <c r="U31" s="194"/>
    </row>
    <row r="32" spans="1:21" s="195" customFormat="1" ht="25.5">
      <c r="A32" s="8"/>
      <c r="B32" s="217" t="s">
        <v>45</v>
      </c>
      <c r="C32" s="203">
        <v>1232</v>
      </c>
      <c r="D32" s="204">
        <v>0.5899794744608271</v>
      </c>
      <c r="E32" s="204">
        <v>0.5852505952325533</v>
      </c>
      <c r="F32" s="194"/>
      <c r="G32" s="203">
        <v>117</v>
      </c>
      <c r="H32" s="204">
        <v>0.6586605816186837</v>
      </c>
      <c r="I32" s="204">
        <v>0.6480577857946634</v>
      </c>
      <c r="J32" s="194"/>
      <c r="K32" s="203">
        <v>378</v>
      </c>
      <c r="L32" s="204">
        <v>0.7519637443664531</v>
      </c>
      <c r="M32" s="204">
        <v>0.7581100258135589</v>
      </c>
      <c r="N32" s="194"/>
      <c r="O32" s="203">
        <v>51</v>
      </c>
      <c r="P32" s="204">
        <v>0.9555690376145697</v>
      </c>
      <c r="Q32" s="205">
        <v>0.8604322822106305</v>
      </c>
      <c r="R32" s="194"/>
      <c r="S32" s="194"/>
      <c r="T32" s="194"/>
      <c r="U32" s="194"/>
    </row>
    <row r="33" spans="2:21" s="195" customFormat="1" ht="25.5">
      <c r="B33" s="217" t="s">
        <v>46</v>
      </c>
      <c r="C33" s="203">
        <v>124</v>
      </c>
      <c r="D33" s="204">
        <v>0.5945685491745806</v>
      </c>
      <c r="E33" s="204">
        <v>0.5934510329245695</v>
      </c>
      <c r="F33" s="194"/>
      <c r="G33" s="203">
        <v>13</v>
      </c>
      <c r="H33" s="204">
        <v>0.7123861483637306</v>
      </c>
      <c r="I33" s="204">
        <v>0.7129827511912226</v>
      </c>
      <c r="J33" s="194"/>
      <c r="K33" s="203">
        <v>43</v>
      </c>
      <c r="L33" s="204">
        <v>0.7486279651543283</v>
      </c>
      <c r="M33" s="204">
        <v>0.7672864742427667</v>
      </c>
      <c r="N33" s="194"/>
      <c r="O33" s="203">
        <v>6</v>
      </c>
      <c r="P33" s="204">
        <v>0.876365304113367</v>
      </c>
      <c r="Q33" s="205">
        <v>0.8492450434362905</v>
      </c>
      <c r="R33" s="194"/>
      <c r="S33" s="194"/>
      <c r="T33" s="194"/>
      <c r="U33" s="194"/>
    </row>
    <row r="34" spans="1:21" s="195" customFormat="1" ht="12.75">
      <c r="A34" s="8"/>
      <c r="B34" s="218" t="s">
        <v>47</v>
      </c>
      <c r="C34" s="209">
        <v>61</v>
      </c>
      <c r="D34" s="214">
        <v>0.5113899537024404</v>
      </c>
      <c r="E34" s="214">
        <v>0.43192002579766536</v>
      </c>
      <c r="F34" s="211"/>
      <c r="G34" s="209">
        <v>9</v>
      </c>
      <c r="H34" s="214">
        <v>1.3732155826401145</v>
      </c>
      <c r="I34" s="214">
        <v>1.470593111876351</v>
      </c>
      <c r="J34" s="211"/>
      <c r="K34" s="209">
        <v>30</v>
      </c>
      <c r="L34" s="214">
        <v>0.7141685566343985</v>
      </c>
      <c r="M34" s="214">
        <v>0.6917807198519781</v>
      </c>
      <c r="N34" s="211"/>
      <c r="O34" s="209">
        <v>1</v>
      </c>
      <c r="P34" s="214">
        <v>0.29669628684597</v>
      </c>
      <c r="Q34" s="215">
        <v>0.2561699651094824</v>
      </c>
      <c r="R34" s="194"/>
      <c r="S34" s="194"/>
      <c r="T34" s="194"/>
      <c r="U34" s="194"/>
    </row>
    <row r="35" spans="1:21" s="195" customFormat="1" ht="12.75">
      <c r="A35" s="8"/>
      <c r="B35" s="37"/>
      <c r="C35" s="203"/>
      <c r="D35" s="204"/>
      <c r="E35" s="204"/>
      <c r="F35" s="194"/>
      <c r="G35" s="203"/>
      <c r="H35" s="204"/>
      <c r="I35" s="204"/>
      <c r="J35" s="194"/>
      <c r="K35" s="203"/>
      <c r="L35" s="204"/>
      <c r="M35" s="204"/>
      <c r="N35" s="194"/>
      <c r="O35" s="203"/>
      <c r="P35" s="204"/>
      <c r="Q35" s="204"/>
      <c r="R35" s="194"/>
      <c r="S35" s="194"/>
      <c r="T35" s="194"/>
      <c r="U35" s="194"/>
    </row>
    <row r="36" spans="1:21" s="195" customFormat="1" ht="12.75">
      <c r="A36" s="8" t="s">
        <v>207</v>
      </c>
      <c r="B36" s="216">
        <v>2006</v>
      </c>
      <c r="C36" s="198">
        <v>13410</v>
      </c>
      <c r="D36" s="199">
        <v>0.6485528581091546</v>
      </c>
      <c r="E36" s="199">
        <v>0.6005842844361768</v>
      </c>
      <c r="F36" s="200"/>
      <c r="G36" s="198">
        <v>3145</v>
      </c>
      <c r="H36" s="199">
        <v>0.7857587809336848</v>
      </c>
      <c r="I36" s="199">
        <v>0.7836782403285208</v>
      </c>
      <c r="J36" s="200"/>
      <c r="K36" s="198">
        <v>4881</v>
      </c>
      <c r="L36" s="199">
        <v>0.6356146176142106</v>
      </c>
      <c r="M36" s="199">
        <v>0.640657271352573</v>
      </c>
      <c r="N36" s="200"/>
      <c r="O36" s="198">
        <v>1002</v>
      </c>
      <c r="P36" s="199">
        <v>0.774580841800385</v>
      </c>
      <c r="Q36" s="201">
        <v>0.790627433877362</v>
      </c>
      <c r="R36" s="194"/>
      <c r="S36" s="194"/>
      <c r="T36" s="194"/>
      <c r="U36" s="194"/>
    </row>
    <row r="37" spans="1:21" s="195" customFormat="1" ht="12.75">
      <c r="A37" s="8"/>
      <c r="B37" s="218">
        <v>2007</v>
      </c>
      <c r="C37" s="209">
        <v>12938</v>
      </c>
      <c r="D37" s="214">
        <v>0.6274229020672399</v>
      </c>
      <c r="E37" s="214">
        <v>0.589167652426375</v>
      </c>
      <c r="F37" s="211"/>
      <c r="G37" s="209">
        <v>2821</v>
      </c>
      <c r="H37" s="214">
        <v>0.7975494350740365</v>
      </c>
      <c r="I37" s="214">
        <v>0.7474392812585123</v>
      </c>
      <c r="J37" s="211"/>
      <c r="K37" s="209">
        <v>5007</v>
      </c>
      <c r="L37" s="214">
        <v>0.6389947385311417</v>
      </c>
      <c r="M37" s="214">
        <v>0.6702614826354311</v>
      </c>
      <c r="N37" s="211"/>
      <c r="O37" s="209">
        <v>938</v>
      </c>
      <c r="P37" s="214">
        <v>0.8096876345954583</v>
      </c>
      <c r="Q37" s="215">
        <v>0.7762306532144051</v>
      </c>
      <c r="R37" s="194"/>
      <c r="S37" s="194"/>
      <c r="T37" s="194"/>
      <c r="U37" s="194"/>
    </row>
    <row r="38" spans="1:21" s="195" customFormat="1" ht="12.75">
      <c r="A38" s="8"/>
      <c r="B38" s="8"/>
      <c r="C38" s="196"/>
      <c r="D38" s="193"/>
      <c r="E38" s="193"/>
      <c r="G38" s="196"/>
      <c r="H38" s="193"/>
      <c r="I38" s="193"/>
      <c r="K38" s="196"/>
      <c r="L38" s="193"/>
      <c r="M38" s="193"/>
      <c r="N38" s="196"/>
      <c r="O38" s="196"/>
      <c r="P38" s="193"/>
      <c r="Q38" s="193"/>
      <c r="R38" s="194"/>
      <c r="S38" s="194"/>
      <c r="T38" s="194"/>
      <c r="U38" s="194"/>
    </row>
    <row r="39" spans="1:21" s="195" customFormat="1" ht="18" hidden="1">
      <c r="A39" s="8"/>
      <c r="B39" s="8"/>
      <c r="C39" s="9" t="s">
        <v>0</v>
      </c>
      <c r="D39" s="190"/>
      <c r="E39" s="190"/>
      <c r="F39" s="191"/>
      <c r="G39" s="192"/>
      <c r="H39" s="190"/>
      <c r="I39" s="190"/>
      <c r="J39" s="191"/>
      <c r="K39" s="192"/>
      <c r="L39" s="190"/>
      <c r="M39" s="190"/>
      <c r="N39" s="191"/>
      <c r="O39" s="192"/>
      <c r="P39" s="190"/>
      <c r="Q39" s="190"/>
      <c r="R39" s="194"/>
      <c r="S39" s="194"/>
      <c r="T39" s="194"/>
      <c r="U39" s="194"/>
    </row>
    <row r="40" spans="1:17" s="194" customFormat="1" ht="15.75" hidden="1">
      <c r="A40" s="1" t="s">
        <v>207</v>
      </c>
      <c r="B40" s="8"/>
      <c r="C40" s="10" t="s">
        <v>1</v>
      </c>
      <c r="D40" s="190"/>
      <c r="E40" s="190"/>
      <c r="F40" s="191"/>
      <c r="G40" s="192"/>
      <c r="H40" s="190"/>
      <c r="I40" s="190"/>
      <c r="J40" s="191"/>
      <c r="K40" s="192"/>
      <c r="L40" s="190"/>
      <c r="M40" s="190"/>
      <c r="N40" s="191"/>
      <c r="O40" s="192"/>
      <c r="P40" s="190"/>
      <c r="Q40" s="190"/>
    </row>
    <row r="41" spans="1:21" s="195" customFormat="1" ht="12.75" hidden="1">
      <c r="A41" s="8"/>
      <c r="B41" s="8"/>
      <c r="C41" s="219" t="s">
        <v>58</v>
      </c>
      <c r="D41" s="190"/>
      <c r="E41" s="190"/>
      <c r="F41" s="191"/>
      <c r="G41" s="192"/>
      <c r="H41" s="190"/>
      <c r="I41" s="190"/>
      <c r="J41" s="191"/>
      <c r="K41" s="192"/>
      <c r="L41" s="190"/>
      <c r="M41" s="190"/>
      <c r="N41" s="191"/>
      <c r="O41" s="192"/>
      <c r="P41" s="190"/>
      <c r="Q41" s="190"/>
      <c r="R41" s="194"/>
      <c r="S41" s="194"/>
      <c r="T41" s="194"/>
      <c r="U41" s="194"/>
    </row>
    <row r="42" spans="1:21" s="195" customFormat="1" ht="12.75" hidden="1">
      <c r="A42" s="8"/>
      <c r="B42" s="8"/>
      <c r="C42" s="219"/>
      <c r="D42" s="190"/>
      <c r="E42" s="190"/>
      <c r="F42" s="191"/>
      <c r="G42" s="192"/>
      <c r="H42" s="190"/>
      <c r="I42" s="190"/>
      <c r="J42" s="191"/>
      <c r="K42" s="192"/>
      <c r="L42" s="190"/>
      <c r="M42" s="190"/>
      <c r="N42" s="191"/>
      <c r="O42" s="192"/>
      <c r="P42" s="190"/>
      <c r="Q42" s="190"/>
      <c r="R42" s="194"/>
      <c r="S42" s="194"/>
      <c r="T42" s="194"/>
      <c r="U42" s="194"/>
    </row>
    <row r="43" spans="3:17" ht="15.75" hidden="1">
      <c r="C43" s="673" t="s">
        <v>132</v>
      </c>
      <c r="D43" s="673"/>
      <c r="E43" s="673"/>
      <c r="F43" s="191"/>
      <c r="G43" s="673" t="s">
        <v>67</v>
      </c>
      <c r="H43" s="673"/>
      <c r="I43" s="673"/>
      <c r="J43" s="191"/>
      <c r="K43" s="673" t="s">
        <v>130</v>
      </c>
      <c r="L43" s="673"/>
      <c r="M43" s="673"/>
      <c r="O43" s="673" t="s">
        <v>68</v>
      </c>
      <c r="P43" s="673"/>
      <c r="Q43" s="673"/>
    </row>
    <row r="44" spans="2:17" ht="38.25" hidden="1">
      <c r="B44" s="12"/>
      <c r="C44" s="13" t="s">
        <v>2</v>
      </c>
      <c r="D44" s="2" t="s">
        <v>69</v>
      </c>
      <c r="E44" s="2" t="s">
        <v>70</v>
      </c>
      <c r="F44" s="12"/>
      <c r="G44" s="13" t="s">
        <v>2</v>
      </c>
      <c r="H44" s="2" t="s">
        <v>69</v>
      </c>
      <c r="I44" s="2" t="s">
        <v>70</v>
      </c>
      <c r="J44" s="12"/>
      <c r="K44" s="13" t="s">
        <v>2</v>
      </c>
      <c r="L44" s="2" t="s">
        <v>69</v>
      </c>
      <c r="M44" s="2" t="s">
        <v>70</v>
      </c>
      <c r="N44" s="12"/>
      <c r="O44" s="13" t="s">
        <v>2</v>
      </c>
      <c r="P44" s="2" t="s">
        <v>69</v>
      </c>
      <c r="Q44" s="2" t="s">
        <v>70</v>
      </c>
    </row>
    <row r="45" spans="1:21" s="195" customFormat="1" ht="25.5" hidden="1">
      <c r="A45" s="8"/>
      <c r="B45" s="5" t="s">
        <v>60</v>
      </c>
      <c r="C45" s="198">
        <v>1821</v>
      </c>
      <c r="D45" s="199">
        <v>0.5721496271817574</v>
      </c>
      <c r="E45" s="199">
        <v>0.5091696413320514</v>
      </c>
      <c r="F45" s="200"/>
      <c r="G45" s="198">
        <v>456</v>
      </c>
      <c r="H45" s="199">
        <v>0.7822767892153236</v>
      </c>
      <c r="I45" s="199">
        <v>0.7672495135295191</v>
      </c>
      <c r="J45" s="200"/>
      <c r="K45" s="198">
        <v>843</v>
      </c>
      <c r="L45" s="199">
        <v>0.5588619369458775</v>
      </c>
      <c r="M45" s="199">
        <v>0.5318611490882816</v>
      </c>
      <c r="N45" s="200"/>
      <c r="O45" s="198">
        <v>160</v>
      </c>
      <c r="P45" s="199">
        <v>0.8673826046299377</v>
      </c>
      <c r="Q45" s="199">
        <v>0.852789273519314</v>
      </c>
      <c r="R45" s="194"/>
      <c r="S45" s="194"/>
      <c r="T45" s="194"/>
      <c r="U45" s="194"/>
    </row>
    <row r="46" spans="1:21" s="195" customFormat="1" ht="15.75" customHeight="1" hidden="1">
      <c r="A46" s="8"/>
      <c r="B46" s="16" t="s">
        <v>61</v>
      </c>
      <c r="C46" s="203">
        <v>979</v>
      </c>
      <c r="D46" s="204">
        <v>0.6905641904357145</v>
      </c>
      <c r="E46" s="204">
        <v>0.6028460239290402</v>
      </c>
      <c r="F46" s="220"/>
      <c r="G46" s="203" t="s">
        <v>71</v>
      </c>
      <c r="H46" s="203" t="s">
        <v>71</v>
      </c>
      <c r="I46" s="203" t="s">
        <v>71</v>
      </c>
      <c r="J46" s="220"/>
      <c r="K46" s="203">
        <v>292</v>
      </c>
      <c r="L46" s="204">
        <v>0.6416638833213865</v>
      </c>
      <c r="M46" s="204">
        <v>0.5877179962763636</v>
      </c>
      <c r="N46" s="220"/>
      <c r="O46" s="203" t="s">
        <v>71</v>
      </c>
      <c r="P46" s="203" t="s">
        <v>71</v>
      </c>
      <c r="Q46" s="203" t="s">
        <v>71</v>
      </c>
      <c r="R46" s="194"/>
      <c r="S46" s="194"/>
      <c r="T46" s="194"/>
      <c r="U46" s="194"/>
    </row>
    <row r="47" spans="2:17" ht="38.25" hidden="1">
      <c r="B47" s="6" t="s">
        <v>62</v>
      </c>
      <c r="C47" s="209">
        <v>2050</v>
      </c>
      <c r="D47" s="214">
        <v>0.8316016257148124</v>
      </c>
      <c r="E47" s="214">
        <v>0.8104878826422252</v>
      </c>
      <c r="F47" s="222"/>
      <c r="G47" s="209">
        <v>365</v>
      </c>
      <c r="H47" s="214">
        <v>1.0863578311677247</v>
      </c>
      <c r="I47" s="214">
        <v>1.0124875950487189</v>
      </c>
      <c r="J47" s="222"/>
      <c r="K47" s="209">
        <v>866</v>
      </c>
      <c r="L47" s="214">
        <v>0.8139961528925101</v>
      </c>
      <c r="M47" s="214">
        <v>0.813152259990507</v>
      </c>
      <c r="N47" s="222"/>
      <c r="O47" s="209">
        <v>103</v>
      </c>
      <c r="P47" s="214">
        <v>0.8851350606964611</v>
      </c>
      <c r="Q47" s="214">
        <v>1.0366204847400522</v>
      </c>
    </row>
    <row r="48" spans="2:21" s="12" customFormat="1" ht="39.75" customHeight="1" hidden="1">
      <c r="B48" s="8"/>
      <c r="C48" s="196"/>
      <c r="D48" s="193"/>
      <c r="E48" s="193"/>
      <c r="F48" s="195"/>
      <c r="G48" s="196"/>
      <c r="H48" s="193"/>
      <c r="I48" s="193"/>
      <c r="J48" s="195"/>
      <c r="K48" s="196"/>
      <c r="L48" s="193"/>
      <c r="M48" s="193"/>
      <c r="N48" s="195"/>
      <c r="O48" s="196"/>
      <c r="P48" s="193"/>
      <c r="Q48" s="193"/>
      <c r="R48" s="47"/>
      <c r="S48" s="47"/>
      <c r="T48" s="47"/>
      <c r="U48" s="47"/>
    </row>
    <row r="49" spans="1:21" s="195" customFormat="1" ht="25.5" customHeight="1" hidden="1">
      <c r="A49" s="15" t="s">
        <v>66</v>
      </c>
      <c r="B49" s="8"/>
      <c r="C49" s="196"/>
      <c r="D49" s="193"/>
      <c r="E49" s="193"/>
      <c r="G49" s="196"/>
      <c r="H49" s="193"/>
      <c r="I49" s="193"/>
      <c r="K49" s="196"/>
      <c r="L49" s="193"/>
      <c r="M49" s="193"/>
      <c r="O49" s="196"/>
      <c r="P49" s="193"/>
      <c r="Q49" s="193"/>
      <c r="R49" s="194"/>
      <c r="S49" s="194"/>
      <c r="T49" s="194"/>
      <c r="U49" s="194"/>
    </row>
    <row r="50" spans="1:21" s="221" customFormat="1" ht="25.5" customHeight="1" hidden="1">
      <c r="A50" s="12"/>
      <c r="B50" s="8"/>
      <c r="C50" s="196"/>
      <c r="D50" s="193"/>
      <c r="E50" s="193"/>
      <c r="F50" s="195"/>
      <c r="G50" s="196"/>
      <c r="H50" s="193"/>
      <c r="I50" s="193"/>
      <c r="J50" s="195"/>
      <c r="K50" s="196"/>
      <c r="L50" s="193"/>
      <c r="M50" s="193"/>
      <c r="N50" s="195"/>
      <c r="O50" s="196"/>
      <c r="P50" s="193"/>
      <c r="Q50" s="193"/>
      <c r="R50" s="220"/>
      <c r="S50" s="220"/>
      <c r="T50" s="220"/>
      <c r="U50" s="220"/>
    </row>
    <row r="51" spans="1:21" s="221" customFormat="1" ht="39.75" customHeight="1" hidden="1">
      <c r="A51" s="12"/>
      <c r="B51" s="8"/>
      <c r="C51" s="196"/>
      <c r="D51" s="193"/>
      <c r="E51" s="193"/>
      <c r="F51" s="195"/>
      <c r="G51" s="196"/>
      <c r="H51" s="193"/>
      <c r="I51" s="193"/>
      <c r="J51" s="195"/>
      <c r="K51" s="196"/>
      <c r="L51" s="193"/>
      <c r="M51" s="193"/>
      <c r="N51" s="195"/>
      <c r="O51" s="196"/>
      <c r="P51" s="193"/>
      <c r="Q51" s="193"/>
      <c r="R51" s="220"/>
      <c r="S51" s="220"/>
      <c r="T51" s="220"/>
      <c r="U51" s="220"/>
    </row>
    <row r="52" spans="1:21" s="195" customFormat="1" ht="12.75">
      <c r="A52" s="8"/>
      <c r="B52" s="8"/>
      <c r="C52" s="196"/>
      <c r="D52" s="193"/>
      <c r="E52" s="193"/>
      <c r="G52" s="196"/>
      <c r="H52" s="193"/>
      <c r="I52" s="193"/>
      <c r="K52" s="196"/>
      <c r="L52" s="193"/>
      <c r="M52" s="193"/>
      <c r="O52" s="196"/>
      <c r="P52" s="193"/>
      <c r="Q52" s="193"/>
      <c r="R52" s="194"/>
      <c r="S52" s="194"/>
      <c r="T52" s="194"/>
      <c r="U52" s="194"/>
    </row>
    <row r="53" spans="1:21" s="195" customFormat="1" ht="12.75">
      <c r="A53" s="8"/>
      <c r="B53" s="8"/>
      <c r="C53" s="196"/>
      <c r="D53" s="193"/>
      <c r="E53" s="193"/>
      <c r="G53" s="196"/>
      <c r="H53" s="193"/>
      <c r="I53" s="193"/>
      <c r="K53" s="196"/>
      <c r="L53" s="193"/>
      <c r="M53" s="193"/>
      <c r="O53" s="196"/>
      <c r="P53" s="193"/>
      <c r="Q53" s="193"/>
      <c r="R53" s="194"/>
      <c r="S53" s="194"/>
      <c r="T53" s="194"/>
      <c r="U53" s="194"/>
    </row>
    <row r="54" spans="1:21" s="195" customFormat="1" ht="12.75">
      <c r="A54" s="8"/>
      <c r="B54" s="8"/>
      <c r="C54" s="196"/>
      <c r="D54" s="193"/>
      <c r="E54" s="193"/>
      <c r="G54" s="196"/>
      <c r="H54" s="193"/>
      <c r="I54" s="193"/>
      <c r="K54" s="196"/>
      <c r="L54" s="193"/>
      <c r="M54" s="193"/>
      <c r="O54" s="196"/>
      <c r="P54" s="193"/>
      <c r="Q54" s="193"/>
      <c r="R54" s="194"/>
      <c r="S54" s="194"/>
      <c r="T54" s="194"/>
      <c r="U54" s="194"/>
    </row>
    <row r="55" spans="1:21" s="195" customFormat="1" ht="12.75">
      <c r="A55" s="8"/>
      <c r="B55" s="8"/>
      <c r="C55" s="196"/>
      <c r="D55" s="193"/>
      <c r="E55" s="193"/>
      <c r="G55" s="196"/>
      <c r="H55" s="193"/>
      <c r="I55" s="193"/>
      <c r="K55" s="196"/>
      <c r="L55" s="193"/>
      <c r="M55" s="193"/>
      <c r="O55" s="196"/>
      <c r="P55" s="193"/>
      <c r="Q55" s="193"/>
      <c r="R55" s="194"/>
      <c r="S55" s="194"/>
      <c r="T55" s="194"/>
      <c r="U55" s="194"/>
    </row>
    <row r="56" spans="1:21" s="195" customFormat="1" ht="12.75">
      <c r="A56" s="8"/>
      <c r="B56" s="8"/>
      <c r="C56" s="196"/>
      <c r="D56" s="193"/>
      <c r="E56" s="193"/>
      <c r="G56" s="196"/>
      <c r="H56" s="193"/>
      <c r="I56" s="193"/>
      <c r="K56" s="196"/>
      <c r="L56" s="193"/>
      <c r="M56" s="193"/>
      <c r="O56" s="196"/>
      <c r="P56" s="193"/>
      <c r="Q56" s="193"/>
      <c r="R56" s="194"/>
      <c r="S56" s="194"/>
      <c r="T56" s="194"/>
      <c r="U56" s="194"/>
    </row>
    <row r="57" spans="1:21" s="195" customFormat="1" ht="12.75">
      <c r="A57" s="8"/>
      <c r="B57" s="8"/>
      <c r="C57" s="196"/>
      <c r="D57" s="193"/>
      <c r="E57" s="193"/>
      <c r="G57" s="196"/>
      <c r="H57" s="193"/>
      <c r="I57" s="193"/>
      <c r="K57" s="196"/>
      <c r="L57" s="193"/>
      <c r="M57" s="193"/>
      <c r="O57" s="196"/>
      <c r="P57" s="193"/>
      <c r="Q57" s="193"/>
      <c r="R57" s="194"/>
      <c r="S57" s="194"/>
      <c r="T57" s="194"/>
      <c r="U57" s="194"/>
    </row>
    <row r="58" spans="1:21" s="195" customFormat="1" ht="12.75">
      <c r="A58" s="8"/>
      <c r="B58" s="8"/>
      <c r="C58" s="196"/>
      <c r="D58" s="193"/>
      <c r="E58" s="193"/>
      <c r="G58" s="196"/>
      <c r="H58" s="193"/>
      <c r="I58" s="193"/>
      <c r="K58" s="196"/>
      <c r="L58" s="193"/>
      <c r="M58" s="193"/>
      <c r="O58" s="196"/>
      <c r="P58" s="193"/>
      <c r="Q58" s="193"/>
      <c r="R58" s="194"/>
      <c r="S58" s="194"/>
      <c r="T58" s="194"/>
      <c r="U58" s="194"/>
    </row>
    <row r="59" spans="1:21" s="195" customFormat="1" ht="12.75">
      <c r="A59" s="8"/>
      <c r="B59" s="8"/>
      <c r="C59" s="196"/>
      <c r="D59" s="193"/>
      <c r="E59" s="193"/>
      <c r="G59" s="196"/>
      <c r="H59" s="193"/>
      <c r="I59" s="193"/>
      <c r="K59" s="196"/>
      <c r="L59" s="193"/>
      <c r="M59" s="193"/>
      <c r="O59" s="196"/>
      <c r="P59" s="193"/>
      <c r="Q59" s="193"/>
      <c r="R59" s="194"/>
      <c r="S59" s="194"/>
      <c r="T59" s="194"/>
      <c r="U59" s="194"/>
    </row>
    <row r="60" spans="1:21" s="195" customFormat="1" ht="12.75">
      <c r="A60" s="8"/>
      <c r="B60" s="8"/>
      <c r="C60" s="196"/>
      <c r="D60" s="193"/>
      <c r="E60" s="193"/>
      <c r="G60" s="196"/>
      <c r="H60" s="193"/>
      <c r="I60" s="193"/>
      <c r="K60" s="196"/>
      <c r="L60" s="193"/>
      <c r="M60" s="193"/>
      <c r="O60" s="196"/>
      <c r="P60" s="193"/>
      <c r="Q60" s="193"/>
      <c r="R60" s="194"/>
      <c r="S60" s="194"/>
      <c r="T60" s="194"/>
      <c r="U60" s="194"/>
    </row>
    <row r="61" spans="1:21" s="195" customFormat="1" ht="12.75">
      <c r="A61" s="8"/>
      <c r="B61" s="8"/>
      <c r="C61" s="196"/>
      <c r="D61" s="193"/>
      <c r="E61" s="193"/>
      <c r="G61" s="196"/>
      <c r="H61" s="193"/>
      <c r="I61" s="193"/>
      <c r="K61" s="196"/>
      <c r="L61" s="193"/>
      <c r="M61" s="193"/>
      <c r="O61" s="196"/>
      <c r="P61" s="193"/>
      <c r="Q61" s="193"/>
      <c r="R61" s="194"/>
      <c r="S61" s="194"/>
      <c r="T61" s="194"/>
      <c r="U61" s="194"/>
    </row>
    <row r="62" spans="1:21" s="195" customFormat="1" ht="12.75">
      <c r="A62" s="8"/>
      <c r="B62" s="8"/>
      <c r="C62" s="196"/>
      <c r="D62" s="193"/>
      <c r="E62" s="193"/>
      <c r="G62" s="196"/>
      <c r="H62" s="193"/>
      <c r="I62" s="193"/>
      <c r="K62" s="196"/>
      <c r="L62" s="193"/>
      <c r="M62" s="193"/>
      <c r="O62" s="196"/>
      <c r="P62" s="193"/>
      <c r="Q62" s="193"/>
      <c r="R62" s="194"/>
      <c r="S62" s="194"/>
      <c r="T62" s="194"/>
      <c r="U62" s="194"/>
    </row>
    <row r="63" spans="1:21" s="195" customFormat="1" ht="12.75">
      <c r="A63" s="8"/>
      <c r="B63" s="8"/>
      <c r="C63" s="196"/>
      <c r="D63" s="193"/>
      <c r="E63" s="193"/>
      <c r="G63" s="196"/>
      <c r="H63" s="193"/>
      <c r="I63" s="193"/>
      <c r="K63" s="196"/>
      <c r="L63" s="193"/>
      <c r="M63" s="193"/>
      <c r="O63" s="196"/>
      <c r="P63" s="193"/>
      <c r="Q63" s="193"/>
      <c r="R63" s="194"/>
      <c r="S63" s="194"/>
      <c r="T63" s="194"/>
      <c r="U63" s="194"/>
    </row>
    <row r="64" spans="1:21" s="195" customFormat="1" ht="12.75">
      <c r="A64" s="8"/>
      <c r="B64" s="8"/>
      <c r="C64" s="196"/>
      <c r="D64" s="193"/>
      <c r="E64" s="193"/>
      <c r="G64" s="196"/>
      <c r="H64" s="193"/>
      <c r="I64" s="193"/>
      <c r="K64" s="196"/>
      <c r="L64" s="193"/>
      <c r="M64" s="193"/>
      <c r="O64" s="196"/>
      <c r="P64" s="193"/>
      <c r="Q64" s="193"/>
      <c r="R64" s="194"/>
      <c r="S64" s="194"/>
      <c r="T64" s="194"/>
      <c r="U64" s="194"/>
    </row>
    <row r="65" spans="1:21" s="195" customFormat="1" ht="12.75">
      <c r="A65" s="8"/>
      <c r="B65" s="8"/>
      <c r="C65" s="196"/>
      <c r="D65" s="193"/>
      <c r="E65" s="193"/>
      <c r="G65" s="196"/>
      <c r="H65" s="193"/>
      <c r="I65" s="193"/>
      <c r="K65" s="196"/>
      <c r="L65" s="193"/>
      <c r="M65" s="193"/>
      <c r="O65" s="196"/>
      <c r="P65" s="193"/>
      <c r="Q65" s="193"/>
      <c r="R65" s="194"/>
      <c r="S65" s="194"/>
      <c r="T65" s="194"/>
      <c r="U65" s="194"/>
    </row>
    <row r="66" spans="1:21" s="195" customFormat="1" ht="12.75">
      <c r="A66" s="8"/>
      <c r="B66" s="8"/>
      <c r="C66" s="196"/>
      <c r="D66" s="193"/>
      <c r="E66" s="193"/>
      <c r="G66" s="196"/>
      <c r="H66" s="193"/>
      <c r="I66" s="193"/>
      <c r="K66" s="196"/>
      <c r="L66" s="193"/>
      <c r="M66" s="193"/>
      <c r="O66" s="196"/>
      <c r="P66" s="193"/>
      <c r="Q66" s="193"/>
      <c r="R66" s="194"/>
      <c r="S66" s="194"/>
      <c r="T66" s="194"/>
      <c r="U66" s="194"/>
    </row>
    <row r="67" spans="1:21" s="195" customFormat="1" ht="12.75">
      <c r="A67" s="8"/>
      <c r="B67" s="8"/>
      <c r="C67" s="196"/>
      <c r="D67" s="193"/>
      <c r="E67" s="193"/>
      <c r="G67" s="196"/>
      <c r="H67" s="193"/>
      <c r="I67" s="193"/>
      <c r="K67" s="196"/>
      <c r="L67" s="193"/>
      <c r="M67" s="193"/>
      <c r="O67" s="196"/>
      <c r="P67" s="193"/>
      <c r="Q67" s="193"/>
      <c r="R67" s="194"/>
      <c r="S67" s="194"/>
      <c r="T67" s="194"/>
      <c r="U67" s="194"/>
    </row>
    <row r="68" spans="1:21" s="195" customFormat="1" ht="12.75">
      <c r="A68" s="8"/>
      <c r="B68" s="8"/>
      <c r="C68" s="196"/>
      <c r="D68" s="193"/>
      <c r="E68" s="193"/>
      <c r="G68" s="196"/>
      <c r="H68" s="193"/>
      <c r="I68" s="193"/>
      <c r="K68" s="196"/>
      <c r="L68" s="193"/>
      <c r="M68" s="193"/>
      <c r="O68" s="196"/>
      <c r="P68" s="193"/>
      <c r="Q68" s="193"/>
      <c r="R68" s="194"/>
      <c r="S68" s="194"/>
      <c r="T68" s="194"/>
      <c r="U68" s="194"/>
    </row>
    <row r="69" spans="1:21" s="195" customFormat="1" ht="12.75">
      <c r="A69" s="8"/>
      <c r="B69" s="8"/>
      <c r="C69" s="184"/>
      <c r="D69" s="185"/>
      <c r="E69" s="185"/>
      <c r="F69" s="186"/>
      <c r="G69" s="187"/>
      <c r="H69" s="188"/>
      <c r="I69" s="188"/>
      <c r="J69" s="186"/>
      <c r="K69" s="187"/>
      <c r="L69" s="188"/>
      <c r="M69" s="188"/>
      <c r="N69" s="186"/>
      <c r="O69" s="187"/>
      <c r="P69" s="188"/>
      <c r="Q69" s="188"/>
      <c r="R69" s="194"/>
      <c r="S69" s="194"/>
      <c r="T69" s="194"/>
      <c r="U69" s="194"/>
    </row>
    <row r="70" spans="1:21" s="195" customFormat="1" ht="12.75">
      <c r="A70" s="8"/>
      <c r="B70" s="8"/>
      <c r="C70" s="184"/>
      <c r="D70" s="185"/>
      <c r="E70" s="185"/>
      <c r="F70" s="186"/>
      <c r="G70" s="187"/>
      <c r="H70" s="188"/>
      <c r="I70" s="188"/>
      <c r="J70" s="186"/>
      <c r="K70" s="187"/>
      <c r="L70" s="188"/>
      <c r="M70" s="188"/>
      <c r="N70" s="186"/>
      <c r="O70" s="187"/>
      <c r="P70" s="188"/>
      <c r="Q70" s="188"/>
      <c r="R70" s="194"/>
      <c r="S70" s="194"/>
      <c r="T70" s="194"/>
      <c r="U70" s="194"/>
    </row>
    <row r="71" spans="1:21" s="195" customFormat="1" ht="12.75">
      <c r="A71" s="8"/>
      <c r="B71" s="8"/>
      <c r="C71" s="184"/>
      <c r="D71" s="185"/>
      <c r="E71" s="185"/>
      <c r="F71" s="186"/>
      <c r="G71" s="187"/>
      <c r="H71" s="188"/>
      <c r="I71" s="188"/>
      <c r="J71" s="186"/>
      <c r="K71" s="187"/>
      <c r="L71" s="188"/>
      <c r="M71" s="188"/>
      <c r="N71" s="186"/>
      <c r="O71" s="187"/>
      <c r="P71" s="188"/>
      <c r="Q71" s="188"/>
      <c r="R71" s="194"/>
      <c r="S71" s="194"/>
      <c r="T71" s="194"/>
      <c r="U71" s="194"/>
    </row>
    <row r="72" spans="1:21" s="195" customFormat="1" ht="12.75">
      <c r="A72" s="8"/>
      <c r="B72" s="8"/>
      <c r="C72" s="184"/>
      <c r="D72" s="185"/>
      <c r="E72" s="185"/>
      <c r="F72" s="186"/>
      <c r="G72" s="187"/>
      <c r="H72" s="188"/>
      <c r="I72" s="188"/>
      <c r="J72" s="186"/>
      <c r="K72" s="187"/>
      <c r="L72" s="188"/>
      <c r="M72" s="188"/>
      <c r="N72" s="186"/>
      <c r="O72" s="187"/>
      <c r="P72" s="188"/>
      <c r="Q72" s="188"/>
      <c r="R72" s="194"/>
      <c r="S72" s="194"/>
      <c r="T72" s="194"/>
      <c r="U72" s="194"/>
    </row>
  </sheetData>
  <sheetProtection/>
  <mergeCells count="11">
    <mergeCell ref="O43:Q43"/>
    <mergeCell ref="C6:E6"/>
    <mergeCell ref="G6:I6"/>
    <mergeCell ref="K6:M6"/>
    <mergeCell ref="O6:Q6"/>
    <mergeCell ref="H1:L1"/>
    <mergeCell ref="H3:L3"/>
    <mergeCell ref="H5:L5"/>
    <mergeCell ref="C43:E43"/>
    <mergeCell ref="G43:I43"/>
    <mergeCell ref="K43:M43"/>
  </mergeCells>
  <printOptions/>
  <pageMargins left="0.75" right="0.75" top="1" bottom="1" header="0.5" footer="0.5"/>
  <pageSetup horizontalDpi="600" verticalDpi="600" orientation="landscape" scale="66" r:id="rId1"/>
  <headerFooter alignWithMargins="0">
    <oddFooter>&amp;L"&amp;F"&amp;R&amp;"Arial,Italic"&amp;A</oddFooter>
  </headerFooter>
  <rowBreaks count="1" manualBreakCount="1">
    <brk id="42" max="255" man="1"/>
  </rowBreaks>
  <colBreaks count="1" manualBreakCount="1">
    <brk id="17"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AE50"/>
  <sheetViews>
    <sheetView zoomScale="85" zoomScaleNormal="85" zoomScaleSheetLayoutView="85" zoomScalePageLayoutView="0" workbookViewId="0" topLeftCell="A4">
      <selection activeCell="B51" sqref="B51"/>
    </sheetView>
  </sheetViews>
  <sheetFormatPr defaultColWidth="9.140625" defaultRowHeight="12.75"/>
  <cols>
    <col min="1" max="1" width="12.421875" style="139" bestFit="1" customWidth="1"/>
    <col min="2" max="2" width="14.00390625" style="130" bestFit="1" customWidth="1"/>
    <col min="3" max="3" width="9.28125" style="158" bestFit="1" customWidth="1"/>
    <col min="4" max="4" width="15.421875" style="128" bestFit="1" customWidth="1"/>
    <col min="5" max="5" width="9.140625" style="127" bestFit="1" customWidth="1"/>
    <col min="6" max="6" width="10.7109375" style="127" customWidth="1"/>
    <col min="7" max="7" width="2.7109375" style="127" customWidth="1"/>
    <col min="8" max="8" width="9.28125" style="158" bestFit="1" customWidth="1"/>
    <col min="9" max="9" width="14.8515625" style="128" bestFit="1" customWidth="1"/>
    <col min="10" max="11" width="9.28125" style="127" bestFit="1" customWidth="1"/>
    <col min="12" max="12" width="2.7109375" style="127" customWidth="1"/>
    <col min="13" max="13" width="9.28125" style="158" bestFit="1" customWidth="1"/>
    <col min="14" max="14" width="15.421875" style="128" bestFit="1" customWidth="1"/>
    <col min="15" max="16" width="9.28125" style="127" bestFit="1" customWidth="1"/>
    <col min="17" max="17" width="2.7109375" style="127" customWidth="1"/>
    <col min="18" max="18" width="9.28125" style="158" bestFit="1" customWidth="1"/>
    <col min="19" max="19" width="14.421875" style="128" bestFit="1" customWidth="1"/>
    <col min="20" max="21" width="9.28125" style="127" bestFit="1" customWidth="1"/>
    <col min="22" max="22" width="2.7109375" style="127" customWidth="1"/>
    <col min="23" max="23" width="9.28125" style="158" bestFit="1" customWidth="1"/>
    <col min="24" max="24" width="13.421875" style="128" bestFit="1" customWidth="1"/>
    <col min="25" max="26" width="9.140625" style="127" customWidth="1"/>
    <col min="27" max="27" width="2.7109375" style="127" customWidth="1"/>
    <col min="28" max="28" width="9.140625" style="158" customWidth="1"/>
    <col min="29" max="29" width="15.00390625" style="127" bestFit="1" customWidth="1"/>
    <col min="30" max="31" width="9.140625" style="127" customWidth="1"/>
    <col min="32" max="16384" width="9.140625" style="113" customWidth="1"/>
  </cols>
  <sheetData>
    <row r="1" spans="1:31" ht="21.75" customHeight="1">
      <c r="A1" s="1"/>
      <c r="B1" s="132"/>
      <c r="C1" s="160"/>
      <c r="D1" s="160"/>
      <c r="E1" s="144"/>
      <c r="F1" s="144"/>
      <c r="G1" s="144"/>
      <c r="H1" s="160"/>
      <c r="I1" s="160"/>
      <c r="J1" s="144"/>
      <c r="K1" s="144"/>
      <c r="L1" s="119"/>
      <c r="M1" s="167"/>
      <c r="N1" s="167"/>
      <c r="O1" s="119"/>
      <c r="P1" s="119" t="s">
        <v>222</v>
      </c>
      <c r="Q1" s="119"/>
      <c r="R1" s="167"/>
      <c r="S1" s="167"/>
      <c r="T1" s="119"/>
      <c r="U1" s="119"/>
      <c r="V1" s="119"/>
      <c r="W1" s="160"/>
      <c r="X1" s="160"/>
      <c r="Y1" s="144"/>
      <c r="Z1" s="144"/>
      <c r="AA1" s="144"/>
      <c r="AB1" s="160"/>
      <c r="AC1" s="160"/>
      <c r="AD1" s="144"/>
      <c r="AE1" s="7"/>
    </row>
    <row r="2" spans="1:31" ht="18">
      <c r="A2" s="1"/>
      <c r="B2" s="132"/>
      <c r="C2" s="160"/>
      <c r="D2" s="160"/>
      <c r="E2" s="144"/>
      <c r="F2" s="144"/>
      <c r="G2" s="144"/>
      <c r="H2" s="160"/>
      <c r="I2" s="160"/>
      <c r="J2" s="144"/>
      <c r="K2" s="144"/>
      <c r="L2" s="120"/>
      <c r="M2" s="168"/>
      <c r="N2" s="168"/>
      <c r="O2" s="120"/>
      <c r="P2" s="120" t="s">
        <v>80</v>
      </c>
      <c r="Q2" s="120"/>
      <c r="R2" s="168"/>
      <c r="S2" s="168"/>
      <c r="T2" s="120"/>
      <c r="U2" s="120"/>
      <c r="V2" s="120"/>
      <c r="W2" s="160"/>
      <c r="X2" s="160"/>
      <c r="Y2" s="144"/>
      <c r="Z2" s="144"/>
      <c r="AA2" s="144"/>
      <c r="AB2" s="160"/>
      <c r="AC2" s="160"/>
      <c r="AD2" s="144"/>
      <c r="AE2" s="7"/>
    </row>
    <row r="3" spans="1:31" ht="15.75">
      <c r="A3" s="1"/>
      <c r="B3" s="132"/>
      <c r="C3" s="160"/>
      <c r="D3" s="160"/>
      <c r="E3" s="144"/>
      <c r="F3" s="144"/>
      <c r="G3" s="144"/>
      <c r="H3" s="160"/>
      <c r="I3" s="160"/>
      <c r="J3" s="144"/>
      <c r="K3" s="144"/>
      <c r="L3" s="121"/>
      <c r="M3" s="169"/>
      <c r="N3" s="169"/>
      <c r="O3" s="121"/>
      <c r="P3" s="121" t="s">
        <v>1</v>
      </c>
      <c r="Q3" s="121"/>
      <c r="R3" s="169"/>
      <c r="S3" s="169"/>
      <c r="T3" s="121"/>
      <c r="U3" s="121"/>
      <c r="V3" s="121"/>
      <c r="W3" s="160"/>
      <c r="X3" s="160"/>
      <c r="Y3" s="144"/>
      <c r="Z3" s="144"/>
      <c r="AA3" s="144"/>
      <c r="AB3" s="160"/>
      <c r="AC3" s="160"/>
      <c r="AD3" s="144"/>
      <c r="AE3" s="7"/>
    </row>
    <row r="4" spans="1:31" ht="14.25" customHeight="1">
      <c r="A4" s="1"/>
      <c r="B4" s="132"/>
      <c r="C4" s="160"/>
      <c r="D4" s="160"/>
      <c r="E4" s="144"/>
      <c r="F4" s="144"/>
      <c r="G4" s="144"/>
      <c r="H4" s="160"/>
      <c r="I4" s="160"/>
      <c r="J4" s="144"/>
      <c r="K4" s="144"/>
      <c r="L4" s="123"/>
      <c r="M4" s="170"/>
      <c r="N4" s="170"/>
      <c r="O4" s="123"/>
      <c r="P4" s="129" t="s">
        <v>223</v>
      </c>
      <c r="Q4" s="123"/>
      <c r="R4" s="170"/>
      <c r="S4" s="170"/>
      <c r="T4" s="123"/>
      <c r="U4" s="123"/>
      <c r="V4" s="123"/>
      <c r="W4" s="160"/>
      <c r="X4" s="160"/>
      <c r="Y4" s="144"/>
      <c r="Z4" s="144"/>
      <c r="AA4" s="144"/>
      <c r="AB4" s="160"/>
      <c r="AC4" s="160"/>
      <c r="AD4" s="144"/>
      <c r="AE4" s="7"/>
    </row>
    <row r="5" spans="1:31" ht="15.75">
      <c r="A5" s="1"/>
      <c r="B5" s="132"/>
      <c r="C5" s="160"/>
      <c r="D5" s="160"/>
      <c r="E5" s="144"/>
      <c r="F5" s="144"/>
      <c r="G5" s="144"/>
      <c r="H5" s="160"/>
      <c r="I5" s="160"/>
      <c r="J5" s="144"/>
      <c r="K5" s="144"/>
      <c r="L5" s="122"/>
      <c r="M5" s="171"/>
      <c r="N5" s="171"/>
      <c r="O5" s="122"/>
      <c r="P5" s="122" t="s">
        <v>233</v>
      </c>
      <c r="Q5" s="122"/>
      <c r="R5" s="171"/>
      <c r="S5" s="171"/>
      <c r="T5" s="122"/>
      <c r="U5" s="122"/>
      <c r="V5" s="122"/>
      <c r="W5" s="160"/>
      <c r="X5" s="160"/>
      <c r="Y5" s="144"/>
      <c r="Z5" s="144"/>
      <c r="AA5" s="144"/>
      <c r="AB5" s="160"/>
      <c r="AC5" s="160"/>
      <c r="AD5" s="144"/>
      <c r="AE5" s="7"/>
    </row>
    <row r="6" spans="1:28" ht="12.75">
      <c r="A6" s="679"/>
      <c r="B6" s="679"/>
      <c r="C6" s="679"/>
      <c r="D6" s="679"/>
      <c r="E6" s="679"/>
      <c r="F6" s="679"/>
      <c r="G6" s="679"/>
      <c r="H6" s="679"/>
      <c r="I6" s="679"/>
      <c r="J6" s="679"/>
      <c r="K6" s="679"/>
      <c r="L6" s="679"/>
      <c r="M6" s="679"/>
      <c r="N6" s="679"/>
      <c r="O6" s="679"/>
      <c r="P6" s="679"/>
      <c r="Q6" s="679"/>
      <c r="R6" s="679"/>
      <c r="S6" s="679"/>
      <c r="T6" s="679"/>
      <c r="U6" s="679"/>
      <c r="V6" s="679"/>
      <c r="W6" s="679"/>
      <c r="X6" s="679"/>
      <c r="Y6" s="679"/>
      <c r="Z6" s="679"/>
      <c r="AA6" s="679"/>
      <c r="AB6" s="679"/>
    </row>
    <row r="7" spans="1:27" ht="12.75">
      <c r="A7" s="678" t="s">
        <v>226</v>
      </c>
      <c r="B7" s="678"/>
      <c r="C7" s="678"/>
      <c r="D7" s="678"/>
      <c r="E7" s="678"/>
      <c r="F7" s="678"/>
      <c r="G7" s="678"/>
      <c r="H7" s="678"/>
      <c r="I7" s="678"/>
      <c r="J7" s="678"/>
      <c r="K7" s="678"/>
      <c r="L7" s="678"/>
      <c r="M7" s="678"/>
      <c r="N7" s="678"/>
      <c r="O7" s="678"/>
      <c r="P7" s="678"/>
      <c r="Q7" s="678"/>
      <c r="R7" s="678"/>
      <c r="S7" s="678"/>
      <c r="T7" s="678"/>
      <c r="U7" s="678"/>
      <c r="V7" s="678"/>
      <c r="W7" s="678"/>
      <c r="X7" s="678"/>
      <c r="Y7" s="678"/>
      <c r="Z7" s="678"/>
      <c r="AA7" s="678"/>
    </row>
    <row r="8" spans="3:31" ht="12.75">
      <c r="C8" s="678" t="s">
        <v>209</v>
      </c>
      <c r="D8" s="678"/>
      <c r="E8" s="678"/>
      <c r="F8" s="678"/>
      <c r="G8" s="126"/>
      <c r="H8" s="678" t="s">
        <v>210</v>
      </c>
      <c r="I8" s="678"/>
      <c r="J8" s="678"/>
      <c r="K8" s="678"/>
      <c r="M8" s="678" t="s">
        <v>211</v>
      </c>
      <c r="N8" s="678"/>
      <c r="O8" s="678"/>
      <c r="P8" s="678"/>
      <c r="R8" s="678" t="s">
        <v>212</v>
      </c>
      <c r="S8" s="678"/>
      <c r="T8" s="678"/>
      <c r="U8" s="678"/>
      <c r="W8" s="678" t="s">
        <v>213</v>
      </c>
      <c r="X8" s="678"/>
      <c r="Y8" s="678"/>
      <c r="Z8" s="678"/>
      <c r="AB8" s="678" t="s">
        <v>214</v>
      </c>
      <c r="AC8" s="678"/>
      <c r="AD8" s="678"/>
      <c r="AE8" s="678"/>
    </row>
    <row r="10" spans="3:31" ht="12.75">
      <c r="C10" s="677" t="s">
        <v>215</v>
      </c>
      <c r="D10" s="677"/>
      <c r="E10" s="677" t="s">
        <v>216</v>
      </c>
      <c r="F10" s="677"/>
      <c r="H10" s="677" t="s">
        <v>215</v>
      </c>
      <c r="I10" s="677"/>
      <c r="J10" s="677" t="s">
        <v>216</v>
      </c>
      <c r="K10" s="677"/>
      <c r="M10" s="677" t="s">
        <v>215</v>
      </c>
      <c r="N10" s="677"/>
      <c r="O10" s="677" t="s">
        <v>216</v>
      </c>
      <c r="P10" s="677"/>
      <c r="R10" s="677" t="s">
        <v>215</v>
      </c>
      <c r="S10" s="677"/>
      <c r="T10" s="677" t="s">
        <v>216</v>
      </c>
      <c r="U10" s="677"/>
      <c r="W10" s="677" t="s">
        <v>215</v>
      </c>
      <c r="X10" s="677"/>
      <c r="Y10" s="677" t="s">
        <v>216</v>
      </c>
      <c r="Z10" s="677"/>
      <c r="AB10" s="677" t="s">
        <v>215</v>
      </c>
      <c r="AC10" s="677"/>
      <c r="AD10" s="677" t="s">
        <v>216</v>
      </c>
      <c r="AE10" s="677"/>
    </row>
    <row r="11" spans="3:31" ht="12.75">
      <c r="C11" s="158" t="s">
        <v>258</v>
      </c>
      <c r="D11" s="128" t="s">
        <v>217</v>
      </c>
      <c r="E11" s="127" t="s">
        <v>258</v>
      </c>
      <c r="F11" s="127" t="s">
        <v>217</v>
      </c>
      <c r="H11" s="158" t="s">
        <v>258</v>
      </c>
      <c r="I11" s="128" t="s">
        <v>217</v>
      </c>
      <c r="J11" s="127" t="s">
        <v>258</v>
      </c>
      <c r="K11" s="127" t="s">
        <v>217</v>
      </c>
      <c r="M11" s="158" t="s">
        <v>258</v>
      </c>
      <c r="N11" s="128" t="s">
        <v>217</v>
      </c>
      <c r="O11" s="127" t="s">
        <v>258</v>
      </c>
      <c r="P11" s="127" t="s">
        <v>217</v>
      </c>
      <c r="R11" s="158" t="s">
        <v>258</v>
      </c>
      <c r="S11" s="128" t="s">
        <v>217</v>
      </c>
      <c r="T11" s="127" t="s">
        <v>258</v>
      </c>
      <c r="U11" s="127" t="s">
        <v>217</v>
      </c>
      <c r="W11" s="158" t="s">
        <v>258</v>
      </c>
      <c r="X11" s="128" t="s">
        <v>217</v>
      </c>
      <c r="Y11" s="127" t="s">
        <v>258</v>
      </c>
      <c r="Z11" s="127" t="s">
        <v>217</v>
      </c>
      <c r="AB11" s="158" t="s">
        <v>258</v>
      </c>
      <c r="AC11" s="128" t="s">
        <v>217</v>
      </c>
      <c r="AD11" s="127" t="s">
        <v>258</v>
      </c>
      <c r="AE11" s="127" t="s">
        <v>217</v>
      </c>
    </row>
    <row r="13" spans="1:31" ht="12.75">
      <c r="A13" s="139" t="s">
        <v>10</v>
      </c>
      <c r="B13" s="131"/>
      <c r="C13" s="178">
        <v>9696</v>
      </c>
      <c r="D13" s="172">
        <v>364988303</v>
      </c>
      <c r="E13" s="141">
        <v>0.6571228585218465</v>
      </c>
      <c r="F13" s="142">
        <v>0.6327768868329912</v>
      </c>
      <c r="G13" s="143"/>
      <c r="H13" s="180">
        <v>17961</v>
      </c>
      <c r="I13" s="172">
        <v>487400648</v>
      </c>
      <c r="J13" s="141">
        <v>0.7897590619358237</v>
      </c>
      <c r="K13" s="142">
        <v>0.7456801129632676</v>
      </c>
      <c r="M13" s="177">
        <v>15682</v>
      </c>
      <c r="N13" s="172">
        <v>513589654</v>
      </c>
      <c r="O13" s="141">
        <v>0.8268418262057906</v>
      </c>
      <c r="P13" s="142">
        <v>0.7845824464240722</v>
      </c>
      <c r="R13" s="177">
        <v>4791</v>
      </c>
      <c r="S13" s="172">
        <v>178204912</v>
      </c>
      <c r="T13" s="141">
        <v>0.8556017759099591</v>
      </c>
      <c r="U13" s="142">
        <v>0.8294785070759927</v>
      </c>
      <c r="W13" s="159">
        <v>5123</v>
      </c>
      <c r="X13" s="172">
        <v>179616780</v>
      </c>
      <c r="Y13" s="141">
        <v>1.0881012817841427</v>
      </c>
      <c r="Z13" s="142">
        <v>1.0578833110468429</v>
      </c>
      <c r="AB13" s="159">
        <v>53253</v>
      </c>
      <c r="AC13" s="172">
        <v>1723800297</v>
      </c>
      <c r="AD13" s="141">
        <v>0.7975405990754167</v>
      </c>
      <c r="AE13" s="142">
        <v>0.7594946308409337</v>
      </c>
    </row>
    <row r="14" spans="5:31" ht="12.75">
      <c r="E14" s="145"/>
      <c r="F14" s="145"/>
      <c r="J14" s="145"/>
      <c r="K14" s="145"/>
      <c r="O14" s="145"/>
      <c r="P14" s="145"/>
      <c r="T14" s="145"/>
      <c r="U14" s="145"/>
      <c r="Y14" s="145"/>
      <c r="Z14" s="145"/>
      <c r="AC14" s="128"/>
      <c r="AD14" s="145"/>
      <c r="AE14" s="145"/>
    </row>
    <row r="15" spans="1:31" ht="12.75">
      <c r="A15" s="112" t="s">
        <v>11</v>
      </c>
      <c r="B15" s="133" t="s">
        <v>16</v>
      </c>
      <c r="C15" s="179">
        <v>219</v>
      </c>
      <c r="D15" s="174">
        <v>8557298</v>
      </c>
      <c r="E15" s="147">
        <v>0.7723442906299806</v>
      </c>
      <c r="F15" s="148">
        <v>0.7058679958490462</v>
      </c>
      <c r="G15" s="143"/>
      <c r="H15" s="164">
        <v>290</v>
      </c>
      <c r="I15" s="174">
        <v>8071028</v>
      </c>
      <c r="J15" s="147">
        <v>1.2659400956273663</v>
      </c>
      <c r="K15" s="148">
        <v>0.9959658493408825</v>
      </c>
      <c r="M15" s="164">
        <v>603</v>
      </c>
      <c r="N15" s="174">
        <v>19775400</v>
      </c>
      <c r="O15" s="147">
        <v>1.2206627474013083</v>
      </c>
      <c r="P15" s="148">
        <v>1.1255532480970736</v>
      </c>
      <c r="R15" s="161">
        <v>50</v>
      </c>
      <c r="S15" s="174">
        <v>1866484</v>
      </c>
      <c r="T15" s="147">
        <v>1.3649562763556007</v>
      </c>
      <c r="U15" s="148">
        <v>1.2022911058054937</v>
      </c>
      <c r="W15" s="161">
        <v>177</v>
      </c>
      <c r="X15" s="174">
        <v>6928097</v>
      </c>
      <c r="Y15" s="147">
        <v>2.0623976666242534</v>
      </c>
      <c r="Z15" s="148">
        <v>1.824803404450774</v>
      </c>
      <c r="AB15" s="161">
        <v>1339</v>
      </c>
      <c r="AC15" s="174">
        <v>45198307</v>
      </c>
      <c r="AD15" s="147">
        <v>1.1859226885042669</v>
      </c>
      <c r="AE15" s="148">
        <v>1.047582007659045</v>
      </c>
    </row>
    <row r="16" spans="2:31" ht="12.75">
      <c r="B16" s="134" t="s">
        <v>17</v>
      </c>
      <c r="C16" s="165">
        <v>289</v>
      </c>
      <c r="D16" s="175">
        <v>13199411</v>
      </c>
      <c r="E16" s="150">
        <v>0.5586255584491737</v>
      </c>
      <c r="F16" s="151">
        <v>0.5351772001551216</v>
      </c>
      <c r="G16" s="143"/>
      <c r="H16" s="165">
        <v>423</v>
      </c>
      <c r="I16" s="175">
        <v>15783938</v>
      </c>
      <c r="J16" s="150">
        <v>1.0134993076218382</v>
      </c>
      <c r="K16" s="151">
        <v>0.9120219150163544</v>
      </c>
      <c r="M16" s="165">
        <v>666</v>
      </c>
      <c r="N16" s="175">
        <v>24566949</v>
      </c>
      <c r="O16" s="150">
        <v>0.9576324151843223</v>
      </c>
      <c r="P16" s="151">
        <v>0.8476413738559329</v>
      </c>
      <c r="R16" s="162">
        <v>68</v>
      </c>
      <c r="S16" s="175">
        <v>2789882</v>
      </c>
      <c r="T16" s="150">
        <v>0.9612322318695735</v>
      </c>
      <c r="U16" s="151">
        <v>0.8135322219383512</v>
      </c>
      <c r="W16" s="162">
        <v>180</v>
      </c>
      <c r="X16" s="175">
        <v>8486505</v>
      </c>
      <c r="Y16" s="150">
        <v>1.2437506711071353</v>
      </c>
      <c r="Z16" s="151">
        <v>1.14410989462699</v>
      </c>
      <c r="AB16" s="162">
        <v>1626</v>
      </c>
      <c r="AC16" s="175">
        <v>64826685</v>
      </c>
      <c r="AD16" s="150">
        <v>0.8809960361300817</v>
      </c>
      <c r="AE16" s="151">
        <v>0.7925043737855976</v>
      </c>
    </row>
    <row r="17" spans="2:31" ht="12.75">
      <c r="B17" s="134" t="s">
        <v>18</v>
      </c>
      <c r="C17" s="165">
        <v>433</v>
      </c>
      <c r="D17" s="175">
        <v>20670176</v>
      </c>
      <c r="E17" s="150">
        <v>0.5887422475019102</v>
      </c>
      <c r="F17" s="151">
        <v>0.5798765881701534</v>
      </c>
      <c r="G17" s="143"/>
      <c r="H17" s="165">
        <v>576</v>
      </c>
      <c r="I17" s="175">
        <v>22652132</v>
      </c>
      <c r="J17" s="150">
        <v>0.8491928451492717</v>
      </c>
      <c r="K17" s="151">
        <v>0.7884687951388504</v>
      </c>
      <c r="M17" s="165">
        <v>839</v>
      </c>
      <c r="N17" s="175">
        <v>34838169</v>
      </c>
      <c r="O17" s="150">
        <v>0.8919355261375127</v>
      </c>
      <c r="P17" s="151">
        <v>0.8477175872517964</v>
      </c>
      <c r="R17" s="162">
        <v>110</v>
      </c>
      <c r="S17" s="175">
        <v>5397530</v>
      </c>
      <c r="T17" s="150">
        <v>0.8557913070430607</v>
      </c>
      <c r="U17" s="151">
        <v>0.8383598898287328</v>
      </c>
      <c r="W17" s="162">
        <v>245</v>
      </c>
      <c r="X17" s="175">
        <v>11858949</v>
      </c>
      <c r="Y17" s="150">
        <v>1.035749682384189</v>
      </c>
      <c r="Z17" s="151">
        <v>0.9742499120003228</v>
      </c>
      <c r="AB17" s="162">
        <v>2203</v>
      </c>
      <c r="AC17" s="175">
        <v>95416956</v>
      </c>
      <c r="AD17" s="150">
        <v>0.8100789798691187</v>
      </c>
      <c r="AE17" s="151">
        <v>0.7689823673562635</v>
      </c>
    </row>
    <row r="18" spans="2:31" ht="12.75">
      <c r="B18" s="134" t="s">
        <v>19</v>
      </c>
      <c r="C18" s="165">
        <v>556</v>
      </c>
      <c r="D18" s="175">
        <v>26061480</v>
      </c>
      <c r="E18" s="150">
        <v>0.6212530535537336</v>
      </c>
      <c r="F18" s="151">
        <v>0.6055156484826683</v>
      </c>
      <c r="G18" s="143"/>
      <c r="H18" s="165">
        <v>876</v>
      </c>
      <c r="I18" s="175">
        <v>35275285</v>
      </c>
      <c r="J18" s="150">
        <v>0.813919941292214</v>
      </c>
      <c r="K18" s="151">
        <v>0.7857601987911621</v>
      </c>
      <c r="M18" s="165">
        <v>1074</v>
      </c>
      <c r="N18" s="175">
        <v>44873269</v>
      </c>
      <c r="O18" s="150">
        <v>0.8718470835416212</v>
      </c>
      <c r="P18" s="151">
        <v>0.8353180288903463</v>
      </c>
      <c r="R18" s="162">
        <v>185</v>
      </c>
      <c r="S18" s="175">
        <v>8874445</v>
      </c>
      <c r="T18" s="150">
        <v>0.8777613006429722</v>
      </c>
      <c r="U18" s="151">
        <v>0.8548738328736111</v>
      </c>
      <c r="W18" s="162">
        <v>385</v>
      </c>
      <c r="X18" s="175">
        <v>18724836</v>
      </c>
      <c r="Y18" s="150">
        <v>1.1273888821359446</v>
      </c>
      <c r="Z18" s="151">
        <v>1.1104151088822884</v>
      </c>
      <c r="AB18" s="162">
        <v>3076</v>
      </c>
      <c r="AC18" s="175">
        <v>133809315</v>
      </c>
      <c r="AD18" s="150">
        <v>0.8190945380142601</v>
      </c>
      <c r="AE18" s="151">
        <v>0.7922528534461327</v>
      </c>
    </row>
    <row r="19" spans="2:31" ht="12.75">
      <c r="B19" s="134" t="s">
        <v>104</v>
      </c>
      <c r="C19" s="165">
        <v>596</v>
      </c>
      <c r="D19" s="175">
        <v>28571838</v>
      </c>
      <c r="E19" s="150">
        <v>0.5761014557194487</v>
      </c>
      <c r="F19" s="151">
        <v>0.5876327345756381</v>
      </c>
      <c r="G19" s="143"/>
      <c r="H19" s="165">
        <v>1194</v>
      </c>
      <c r="I19" s="175">
        <v>44583728</v>
      </c>
      <c r="J19" s="150">
        <v>0.7509993480394748</v>
      </c>
      <c r="K19" s="151">
        <v>0.7148532248646579</v>
      </c>
      <c r="M19" s="165">
        <v>1212</v>
      </c>
      <c r="N19" s="175">
        <v>48658324</v>
      </c>
      <c r="O19" s="150">
        <v>0.7747188478503994</v>
      </c>
      <c r="P19" s="151">
        <v>0.7440319705878506</v>
      </c>
      <c r="R19" s="162">
        <v>252</v>
      </c>
      <c r="S19" s="175">
        <v>11713856</v>
      </c>
      <c r="T19" s="150">
        <v>0.7838963305812728</v>
      </c>
      <c r="U19" s="151">
        <v>0.7704606567969257</v>
      </c>
      <c r="W19" s="162">
        <v>542</v>
      </c>
      <c r="X19" s="175">
        <v>22824837</v>
      </c>
      <c r="Y19" s="150">
        <v>1.127721350790459</v>
      </c>
      <c r="Z19" s="151">
        <v>1.103146731410843</v>
      </c>
      <c r="AB19" s="162">
        <v>3796</v>
      </c>
      <c r="AC19" s="175">
        <v>156352583</v>
      </c>
      <c r="AD19" s="150">
        <v>0.7605772060489265</v>
      </c>
      <c r="AE19" s="151">
        <v>0.7365320139598568</v>
      </c>
    </row>
    <row r="20" spans="2:31" ht="12.75">
      <c r="B20" s="134" t="s">
        <v>105</v>
      </c>
      <c r="C20" s="165">
        <v>702</v>
      </c>
      <c r="D20" s="175">
        <v>31460275</v>
      </c>
      <c r="E20" s="150">
        <v>0.5647841445685208</v>
      </c>
      <c r="F20" s="151">
        <v>0.5612513108380747</v>
      </c>
      <c r="G20" s="143"/>
      <c r="H20" s="165">
        <v>1668</v>
      </c>
      <c r="I20" s="175">
        <v>55183611</v>
      </c>
      <c r="J20" s="150">
        <v>0.7432726506023807</v>
      </c>
      <c r="K20" s="151">
        <v>0.710647044822207</v>
      </c>
      <c r="M20" s="165">
        <v>1580</v>
      </c>
      <c r="N20" s="175">
        <v>59822547</v>
      </c>
      <c r="O20" s="150">
        <v>0.7910445347559173</v>
      </c>
      <c r="P20" s="151">
        <v>0.7627254495052667</v>
      </c>
      <c r="R20" s="162">
        <v>394</v>
      </c>
      <c r="S20" s="175">
        <v>17615387</v>
      </c>
      <c r="T20" s="150">
        <v>0.8380668511888486</v>
      </c>
      <c r="U20" s="151">
        <v>0.8496398296754267</v>
      </c>
      <c r="W20" s="162">
        <v>603</v>
      </c>
      <c r="X20" s="175">
        <v>23010047</v>
      </c>
      <c r="Y20" s="150">
        <v>1.0377658481172378</v>
      </c>
      <c r="Z20" s="151">
        <v>1.0101705810213062</v>
      </c>
      <c r="AB20" s="162">
        <v>4947</v>
      </c>
      <c r="AC20" s="175">
        <v>187091867</v>
      </c>
      <c r="AD20" s="150">
        <v>0.7569281741353915</v>
      </c>
      <c r="AE20" s="151">
        <v>0.7318275899971551</v>
      </c>
    </row>
    <row r="21" spans="2:31" ht="12.75">
      <c r="B21" s="134" t="s">
        <v>106</v>
      </c>
      <c r="C21" s="165">
        <v>1040</v>
      </c>
      <c r="D21" s="175">
        <v>42670793</v>
      </c>
      <c r="E21" s="150">
        <v>0.6081468581101237</v>
      </c>
      <c r="F21" s="151">
        <v>0.6064267952375788</v>
      </c>
      <c r="G21" s="143"/>
      <c r="H21" s="165">
        <v>2251</v>
      </c>
      <c r="I21" s="175">
        <v>65694591</v>
      </c>
      <c r="J21" s="150">
        <v>0.7252732729649273</v>
      </c>
      <c r="K21" s="151">
        <v>0.6881028125270204</v>
      </c>
      <c r="M21" s="165">
        <v>1788</v>
      </c>
      <c r="N21" s="175">
        <v>61629070</v>
      </c>
      <c r="O21" s="150">
        <v>0.7451891041549934</v>
      </c>
      <c r="P21" s="151">
        <v>0.7051195437196863</v>
      </c>
      <c r="R21" s="162">
        <v>523</v>
      </c>
      <c r="S21" s="175">
        <v>21385079</v>
      </c>
      <c r="T21" s="150">
        <v>0.7763718141107598</v>
      </c>
      <c r="U21" s="151">
        <v>0.7718628502774088</v>
      </c>
      <c r="W21" s="162">
        <v>623</v>
      </c>
      <c r="X21" s="175">
        <v>21080838</v>
      </c>
      <c r="Y21" s="150">
        <v>0.9774004924717911</v>
      </c>
      <c r="Z21" s="151">
        <v>0.9369686156935857</v>
      </c>
      <c r="AB21" s="162">
        <v>6225</v>
      </c>
      <c r="AC21" s="175">
        <v>212460371</v>
      </c>
      <c r="AD21" s="150">
        <v>0.7302726709813218</v>
      </c>
      <c r="AE21" s="151">
        <v>0.7001646714628911</v>
      </c>
    </row>
    <row r="22" spans="2:31" ht="12.75">
      <c r="B22" s="134" t="s">
        <v>107</v>
      </c>
      <c r="C22" s="165">
        <v>1373</v>
      </c>
      <c r="D22" s="175">
        <v>52227190</v>
      </c>
      <c r="E22" s="150">
        <v>0.6043832009061372</v>
      </c>
      <c r="F22" s="151">
        <v>0.5956342281353334</v>
      </c>
      <c r="G22" s="143"/>
      <c r="H22" s="165">
        <v>3199</v>
      </c>
      <c r="I22" s="175">
        <v>82508501</v>
      </c>
      <c r="J22" s="150">
        <v>0.762675768423553</v>
      </c>
      <c r="K22" s="151">
        <v>0.7237112554911013</v>
      </c>
      <c r="M22" s="165">
        <v>2116</v>
      </c>
      <c r="N22" s="175">
        <v>70145359</v>
      </c>
      <c r="O22" s="150">
        <v>0.7533439079415449</v>
      </c>
      <c r="P22" s="151">
        <v>0.7257899305409297</v>
      </c>
      <c r="R22" s="162">
        <v>728</v>
      </c>
      <c r="S22" s="175">
        <v>26339952</v>
      </c>
      <c r="T22" s="150">
        <v>0.7845863696762989</v>
      </c>
      <c r="U22" s="151">
        <v>0.7558470740297807</v>
      </c>
      <c r="W22" s="162">
        <v>700</v>
      </c>
      <c r="X22" s="175">
        <v>22601407</v>
      </c>
      <c r="Y22" s="150">
        <v>1.0340011025701457</v>
      </c>
      <c r="Z22" s="151">
        <v>1.0322968676780278</v>
      </c>
      <c r="AB22" s="162">
        <v>8116</v>
      </c>
      <c r="AC22" s="175">
        <v>253822409</v>
      </c>
      <c r="AD22" s="150">
        <v>0.7459661716124317</v>
      </c>
      <c r="AE22" s="151">
        <v>0.7148310605334646</v>
      </c>
    </row>
    <row r="23" spans="2:31" ht="12.75">
      <c r="B23" s="134" t="s">
        <v>108</v>
      </c>
      <c r="C23" s="165">
        <v>1735</v>
      </c>
      <c r="D23" s="175">
        <v>58363867</v>
      </c>
      <c r="E23" s="150">
        <v>0.6789272448651062</v>
      </c>
      <c r="F23" s="151">
        <v>0.6459569306878771</v>
      </c>
      <c r="G23" s="143"/>
      <c r="H23" s="165">
        <v>3564</v>
      </c>
      <c r="I23" s="175">
        <v>79808020</v>
      </c>
      <c r="J23" s="150">
        <v>0.7616547750109289</v>
      </c>
      <c r="K23" s="151">
        <v>0.7111478722677383</v>
      </c>
      <c r="M23" s="165">
        <v>2779</v>
      </c>
      <c r="N23" s="175">
        <v>75906894</v>
      </c>
      <c r="O23" s="150">
        <v>0.8219664405684142</v>
      </c>
      <c r="P23" s="151">
        <v>0.7873621227990513</v>
      </c>
      <c r="R23" s="162">
        <v>974</v>
      </c>
      <c r="S23" s="175">
        <v>32744387</v>
      </c>
      <c r="T23" s="150">
        <v>0.8972988246822562</v>
      </c>
      <c r="U23" s="151">
        <v>0.8669209149020125</v>
      </c>
      <c r="W23" s="162">
        <v>733</v>
      </c>
      <c r="X23" s="175">
        <v>20741711</v>
      </c>
      <c r="Y23" s="150">
        <v>1.0545895550400355</v>
      </c>
      <c r="Z23" s="151">
        <v>1.0625323495606875</v>
      </c>
      <c r="AB23" s="162">
        <v>9785</v>
      </c>
      <c r="AC23" s="175">
        <v>267564879</v>
      </c>
      <c r="AD23" s="150">
        <v>0.7893521756040416</v>
      </c>
      <c r="AE23" s="151">
        <v>0.7510059748445823</v>
      </c>
    </row>
    <row r="24" spans="2:31" ht="12.75">
      <c r="B24" s="134" t="s">
        <v>109</v>
      </c>
      <c r="C24" s="165">
        <v>1524</v>
      </c>
      <c r="D24" s="175">
        <v>47256342</v>
      </c>
      <c r="E24" s="150">
        <v>0.7552971644087695</v>
      </c>
      <c r="F24" s="151">
        <v>0.7415743369198843</v>
      </c>
      <c r="G24" s="143"/>
      <c r="H24" s="165">
        <v>2528</v>
      </c>
      <c r="I24" s="175">
        <v>50334678</v>
      </c>
      <c r="J24" s="150">
        <v>0.8415690418281708</v>
      </c>
      <c r="K24" s="151">
        <v>0.8110361266533268</v>
      </c>
      <c r="M24" s="165">
        <v>1937</v>
      </c>
      <c r="N24" s="175">
        <v>46731000</v>
      </c>
      <c r="O24" s="150">
        <v>0.8334992335314014</v>
      </c>
      <c r="P24" s="151">
        <v>0.7823617479387492</v>
      </c>
      <c r="R24" s="162">
        <v>832</v>
      </c>
      <c r="S24" s="175">
        <v>26542675</v>
      </c>
      <c r="T24" s="150">
        <v>0.8834342205656829</v>
      </c>
      <c r="U24" s="151">
        <v>0.8639603822868902</v>
      </c>
      <c r="W24" s="162">
        <v>557</v>
      </c>
      <c r="X24" s="175">
        <v>14028037</v>
      </c>
      <c r="Y24" s="150">
        <v>1.1175327220904165</v>
      </c>
      <c r="Z24" s="151">
        <v>1.0768863883845943</v>
      </c>
      <c r="AB24" s="162">
        <v>7378</v>
      </c>
      <c r="AC24" s="175">
        <v>184892732</v>
      </c>
      <c r="AD24" s="150">
        <v>0.8397643904759869</v>
      </c>
      <c r="AE24" s="151">
        <v>0.8064558064556334</v>
      </c>
    </row>
    <row r="25" spans="2:31" ht="12.75">
      <c r="B25" s="134" t="s">
        <v>110</v>
      </c>
      <c r="C25" s="165">
        <v>841</v>
      </c>
      <c r="D25" s="175">
        <v>24253961</v>
      </c>
      <c r="E25" s="150">
        <v>0.8013280969861228</v>
      </c>
      <c r="F25" s="151">
        <v>0.7740830675623284</v>
      </c>
      <c r="G25" s="143"/>
      <c r="H25" s="165">
        <v>1112</v>
      </c>
      <c r="I25" s="175">
        <v>21014745</v>
      </c>
      <c r="J25" s="150">
        <v>0.9015760311147503</v>
      </c>
      <c r="K25" s="151">
        <v>0.8922861751379346</v>
      </c>
      <c r="M25" s="165">
        <v>815</v>
      </c>
      <c r="N25" s="175">
        <v>19217315</v>
      </c>
      <c r="O25" s="150">
        <v>0.9438474027357754</v>
      </c>
      <c r="P25" s="151">
        <v>0.8873216369787695</v>
      </c>
      <c r="R25" s="162">
        <v>471</v>
      </c>
      <c r="S25" s="175">
        <v>14925213</v>
      </c>
      <c r="T25" s="150">
        <v>0.9327524866418839</v>
      </c>
      <c r="U25" s="151">
        <v>0.8667480642490488</v>
      </c>
      <c r="W25" s="162">
        <v>279</v>
      </c>
      <c r="X25" s="175">
        <v>6934763</v>
      </c>
      <c r="Y25" s="150">
        <v>1.2709737430946597</v>
      </c>
      <c r="Z25" s="151">
        <v>1.1596013868914317</v>
      </c>
      <c r="AB25" s="162">
        <v>3518</v>
      </c>
      <c r="AC25" s="175">
        <v>86345997</v>
      </c>
      <c r="AD25" s="150">
        <v>0.9088409602127431</v>
      </c>
      <c r="AE25" s="151">
        <v>0.865694968619451</v>
      </c>
    </row>
    <row r="26" spans="2:31" ht="12.75">
      <c r="B26" s="134" t="s">
        <v>111</v>
      </c>
      <c r="C26" s="165">
        <v>316</v>
      </c>
      <c r="D26" s="175">
        <v>9583436</v>
      </c>
      <c r="E26" s="150">
        <v>0.883067030404585</v>
      </c>
      <c r="F26" s="151">
        <v>0.8944535900570353</v>
      </c>
      <c r="G26" s="143"/>
      <c r="H26" s="165">
        <v>227</v>
      </c>
      <c r="I26" s="175">
        <v>5045995</v>
      </c>
      <c r="J26" s="150">
        <v>0.9808150417449146</v>
      </c>
      <c r="K26" s="151">
        <v>0.9522243890079155</v>
      </c>
      <c r="M26" s="165">
        <v>234</v>
      </c>
      <c r="N26" s="175">
        <v>6052263</v>
      </c>
      <c r="O26" s="150">
        <v>1.0216734487154844</v>
      </c>
      <c r="P26" s="151">
        <v>0.9835204313190561</v>
      </c>
      <c r="R26" s="162">
        <v>169</v>
      </c>
      <c r="S26" s="175">
        <v>6997433</v>
      </c>
      <c r="T26" s="150">
        <v>0.9581689516066851</v>
      </c>
      <c r="U26" s="151">
        <v>1.0090880535762348</v>
      </c>
      <c r="W26" s="162">
        <v>75</v>
      </c>
      <c r="X26" s="175">
        <v>1935147</v>
      </c>
      <c r="Y26" s="150">
        <v>0.8950975507147363</v>
      </c>
      <c r="Z26" s="151">
        <v>0.8050011513826631</v>
      </c>
      <c r="AB26" s="162">
        <v>1021</v>
      </c>
      <c r="AC26" s="175">
        <v>29614274</v>
      </c>
      <c r="AD26" s="150">
        <v>0.9466959814183482</v>
      </c>
      <c r="AE26" s="151">
        <v>0.9399731038498751</v>
      </c>
    </row>
    <row r="27" spans="2:31" ht="12.75">
      <c r="B27" s="134" t="s">
        <v>112</v>
      </c>
      <c r="C27" s="165">
        <v>67</v>
      </c>
      <c r="D27" s="175">
        <v>1979457</v>
      </c>
      <c r="E27" s="150">
        <v>0.8957991698482021</v>
      </c>
      <c r="F27" s="151">
        <v>0.9093481844552447</v>
      </c>
      <c r="G27" s="143"/>
      <c r="H27" s="165">
        <v>49</v>
      </c>
      <c r="I27" s="175">
        <v>1264299</v>
      </c>
      <c r="J27" s="150">
        <v>0.9080746741309161</v>
      </c>
      <c r="K27" s="151">
        <v>0.7373184335580468</v>
      </c>
      <c r="M27" s="165">
        <v>36</v>
      </c>
      <c r="N27" s="175">
        <v>1238095</v>
      </c>
      <c r="O27" s="150">
        <v>1.094172709691362</v>
      </c>
      <c r="P27" s="151">
        <v>1.004485772027654</v>
      </c>
      <c r="R27" s="162">
        <v>33</v>
      </c>
      <c r="S27" s="175">
        <v>945959</v>
      </c>
      <c r="T27" s="150">
        <v>0.689293887341807</v>
      </c>
      <c r="U27" s="151">
        <v>0.5284379626660829</v>
      </c>
      <c r="W27" s="162">
        <v>21</v>
      </c>
      <c r="X27" s="175">
        <v>364286</v>
      </c>
      <c r="Y27" s="150">
        <v>0.9079337848214224</v>
      </c>
      <c r="Z27" s="151">
        <v>0.5853879923756249</v>
      </c>
      <c r="AB27" s="162">
        <v>206</v>
      </c>
      <c r="AC27" s="175">
        <v>5792096</v>
      </c>
      <c r="AD27" s="150">
        <v>0.8854123416852631</v>
      </c>
      <c r="AE27" s="151">
        <v>0.7685411713947679</v>
      </c>
    </row>
    <row r="28" spans="2:31" ht="12.75">
      <c r="B28" s="134" t="s">
        <v>113</v>
      </c>
      <c r="C28" s="165">
        <v>5</v>
      </c>
      <c r="D28" s="175">
        <v>132779</v>
      </c>
      <c r="E28" s="150">
        <v>0.5551022220741948</v>
      </c>
      <c r="F28" s="151">
        <v>0.43677703479392316</v>
      </c>
      <c r="G28" s="143"/>
      <c r="H28" s="165">
        <v>4</v>
      </c>
      <c r="I28" s="175">
        <v>180097</v>
      </c>
      <c r="J28" s="150">
        <v>0.563481867153515</v>
      </c>
      <c r="K28" s="151">
        <v>0.7661534584327024</v>
      </c>
      <c r="M28" s="165">
        <v>3</v>
      </c>
      <c r="N28" s="175">
        <v>135000</v>
      </c>
      <c r="O28" s="150">
        <v>0.7716307386821061</v>
      </c>
      <c r="P28" s="151">
        <v>0.781491923397501</v>
      </c>
      <c r="R28" s="162">
        <v>2</v>
      </c>
      <c r="S28" s="175">
        <v>66630</v>
      </c>
      <c r="T28" s="150">
        <v>0.6059779727006924</v>
      </c>
      <c r="U28" s="151">
        <v>0.6009146166675631</v>
      </c>
      <c r="W28" s="162">
        <v>3</v>
      </c>
      <c r="X28" s="175">
        <v>97320</v>
      </c>
      <c r="Y28" s="150">
        <v>1.129254466201414</v>
      </c>
      <c r="Z28" s="151">
        <v>1.088423283174824</v>
      </c>
      <c r="AB28" s="162">
        <v>17</v>
      </c>
      <c r="AC28" s="175">
        <v>611826</v>
      </c>
      <c r="AD28" s="150">
        <v>0.655080476636556</v>
      </c>
      <c r="AE28" s="151">
        <v>0.6707846709178679</v>
      </c>
    </row>
    <row r="29" spans="2:31" ht="12.75">
      <c r="B29" s="135" t="s">
        <v>114</v>
      </c>
      <c r="C29" s="166">
        <v>0</v>
      </c>
      <c r="D29" s="176">
        <v>0</v>
      </c>
      <c r="E29" s="153">
        <v>0</v>
      </c>
      <c r="F29" s="154">
        <v>0</v>
      </c>
      <c r="G29" s="143"/>
      <c r="H29" s="166">
        <v>0</v>
      </c>
      <c r="I29" s="176">
        <v>0</v>
      </c>
      <c r="J29" s="153">
        <v>0</v>
      </c>
      <c r="K29" s="154">
        <v>0</v>
      </c>
      <c r="M29" s="166"/>
      <c r="N29" s="176"/>
      <c r="O29" s="153"/>
      <c r="P29" s="154"/>
      <c r="R29" s="163"/>
      <c r="S29" s="176"/>
      <c r="T29" s="153"/>
      <c r="U29" s="154"/>
      <c r="W29" s="166">
        <v>0</v>
      </c>
      <c r="X29" s="176">
        <v>0</v>
      </c>
      <c r="Y29" s="153">
        <v>0</v>
      </c>
      <c r="Z29" s="154">
        <v>0</v>
      </c>
      <c r="AB29" s="163">
        <v>0</v>
      </c>
      <c r="AC29" s="176">
        <v>0</v>
      </c>
      <c r="AD29" s="153">
        <v>0</v>
      </c>
      <c r="AE29" s="154">
        <v>0</v>
      </c>
    </row>
    <row r="30" spans="5:31" ht="12.75">
      <c r="E30" s="145"/>
      <c r="F30" s="145"/>
      <c r="J30" s="145"/>
      <c r="K30" s="145"/>
      <c r="O30" s="145"/>
      <c r="P30" s="145"/>
      <c r="T30" s="145"/>
      <c r="U30" s="145"/>
      <c r="Y30" s="145"/>
      <c r="Z30" s="145"/>
      <c r="AC30" s="128"/>
      <c r="AD30" s="145"/>
      <c r="AE30" s="145"/>
    </row>
    <row r="31" spans="1:31" ht="12.75">
      <c r="A31" s="139" t="s">
        <v>28</v>
      </c>
      <c r="B31" s="133" t="s">
        <v>115</v>
      </c>
      <c r="C31" s="179">
        <v>28</v>
      </c>
      <c r="D31" s="174">
        <v>1130205</v>
      </c>
      <c r="E31" s="147">
        <v>1.0978463391529636</v>
      </c>
      <c r="F31" s="148">
        <v>1.0464449609129423</v>
      </c>
      <c r="G31" s="143"/>
      <c r="H31" s="164">
        <v>19</v>
      </c>
      <c r="I31" s="174">
        <v>632974</v>
      </c>
      <c r="J31" s="147">
        <v>0.7460061188207134</v>
      </c>
      <c r="K31" s="148">
        <v>0.6324643846562416</v>
      </c>
      <c r="M31" s="164">
        <v>127</v>
      </c>
      <c r="N31" s="174">
        <v>4511292</v>
      </c>
      <c r="O31" s="147">
        <v>2.0789571558032685</v>
      </c>
      <c r="P31" s="148">
        <v>1.7245524377856476</v>
      </c>
      <c r="R31" s="161">
        <v>19</v>
      </c>
      <c r="S31" s="174">
        <v>914743</v>
      </c>
      <c r="T31" s="147">
        <v>1.047402689399349</v>
      </c>
      <c r="U31" s="148">
        <v>0.955394087296962</v>
      </c>
      <c r="W31" s="161">
        <v>54</v>
      </c>
      <c r="X31" s="174">
        <v>1929202</v>
      </c>
      <c r="Y31" s="147">
        <v>2.5072012391145697</v>
      </c>
      <c r="Z31" s="148">
        <v>2.460443494957184</v>
      </c>
      <c r="AB31" s="161">
        <v>247</v>
      </c>
      <c r="AC31" s="174">
        <v>9118416</v>
      </c>
      <c r="AD31" s="147">
        <v>1.6277861916676728</v>
      </c>
      <c r="AE31" s="148">
        <v>1.4162754804695366</v>
      </c>
    </row>
    <row r="32" spans="2:31" ht="12.75">
      <c r="B32" s="134" t="s">
        <v>116</v>
      </c>
      <c r="C32" s="165">
        <v>45</v>
      </c>
      <c r="D32" s="175">
        <v>1692862</v>
      </c>
      <c r="E32" s="150">
        <v>1.1789687691173083</v>
      </c>
      <c r="F32" s="151">
        <v>1.0483006302992228</v>
      </c>
      <c r="G32" s="143"/>
      <c r="H32" s="165">
        <v>31</v>
      </c>
      <c r="I32" s="175">
        <v>1130663</v>
      </c>
      <c r="J32" s="150">
        <v>0.8176675268880745</v>
      </c>
      <c r="K32" s="151">
        <v>0.7690580256982551</v>
      </c>
      <c r="M32" s="165">
        <v>139</v>
      </c>
      <c r="N32" s="175">
        <v>4796549</v>
      </c>
      <c r="O32" s="150">
        <v>1.7616986932504877</v>
      </c>
      <c r="P32" s="151">
        <v>1.4824458049231002</v>
      </c>
      <c r="R32" s="162">
        <v>30</v>
      </c>
      <c r="S32" s="175">
        <v>1420000</v>
      </c>
      <c r="T32" s="150">
        <v>1.0852892657656363</v>
      </c>
      <c r="U32" s="151">
        <v>0.9685093014579662</v>
      </c>
      <c r="W32" s="162">
        <v>57</v>
      </c>
      <c r="X32" s="175">
        <v>2034771</v>
      </c>
      <c r="Y32" s="150">
        <v>1.9319453605179562</v>
      </c>
      <c r="Z32" s="151">
        <v>2.007038130912949</v>
      </c>
      <c r="AB32" s="162">
        <v>302</v>
      </c>
      <c r="AC32" s="175">
        <v>11074845</v>
      </c>
      <c r="AD32" s="150">
        <v>1.4236611445113505</v>
      </c>
      <c r="AE32" s="151">
        <v>1.2584181416315467</v>
      </c>
    </row>
    <row r="33" spans="2:31" ht="12.75">
      <c r="B33" s="134" t="s">
        <v>117</v>
      </c>
      <c r="C33" s="165">
        <v>58</v>
      </c>
      <c r="D33" s="175">
        <v>2278154</v>
      </c>
      <c r="E33" s="150">
        <v>1.0626638197047913</v>
      </c>
      <c r="F33" s="151">
        <v>0.9834894106631872</v>
      </c>
      <c r="G33" s="143"/>
      <c r="H33" s="165">
        <v>60</v>
      </c>
      <c r="I33" s="175">
        <v>2419900</v>
      </c>
      <c r="J33" s="150">
        <v>1.0620378807671311</v>
      </c>
      <c r="K33" s="151">
        <v>1.073133075635245</v>
      </c>
      <c r="M33" s="165">
        <v>140</v>
      </c>
      <c r="N33" s="175">
        <v>5261609</v>
      </c>
      <c r="O33" s="150">
        <v>1.4452903407633293</v>
      </c>
      <c r="P33" s="151">
        <v>1.3615648553748476</v>
      </c>
      <c r="R33" s="162">
        <v>39</v>
      </c>
      <c r="S33" s="175">
        <v>2060484</v>
      </c>
      <c r="T33" s="150">
        <v>1.0036592386446899</v>
      </c>
      <c r="U33" s="151">
        <v>1.0208227114611097</v>
      </c>
      <c r="W33" s="162">
        <v>68</v>
      </c>
      <c r="X33" s="175">
        <v>1956271</v>
      </c>
      <c r="Y33" s="150">
        <v>1.6483006384013856</v>
      </c>
      <c r="Z33" s="151">
        <v>1.533407901942132</v>
      </c>
      <c r="AB33" s="162">
        <v>365</v>
      </c>
      <c r="AC33" s="175">
        <v>13976418</v>
      </c>
      <c r="AD33" s="150">
        <v>1.26712462517845</v>
      </c>
      <c r="AE33" s="151">
        <v>1.1915115107532714</v>
      </c>
    </row>
    <row r="34" spans="2:31" ht="12.75">
      <c r="B34" s="134" t="s">
        <v>118</v>
      </c>
      <c r="C34" s="165">
        <v>127</v>
      </c>
      <c r="D34" s="175">
        <v>4866761</v>
      </c>
      <c r="E34" s="150">
        <v>0.785011497327841</v>
      </c>
      <c r="F34" s="151">
        <v>0.7469124768770562</v>
      </c>
      <c r="G34" s="143"/>
      <c r="H34" s="165">
        <v>128</v>
      </c>
      <c r="I34" s="175">
        <v>4870451</v>
      </c>
      <c r="J34" s="150">
        <v>0.8608411884531324</v>
      </c>
      <c r="K34" s="151">
        <v>0.8499477007294245</v>
      </c>
      <c r="M34" s="165">
        <v>310</v>
      </c>
      <c r="N34" s="175">
        <v>10137225</v>
      </c>
      <c r="O34" s="150">
        <v>1.1765363581804764</v>
      </c>
      <c r="P34" s="151">
        <v>1.03994666542808</v>
      </c>
      <c r="R34" s="162">
        <v>118</v>
      </c>
      <c r="S34" s="175">
        <v>5814542</v>
      </c>
      <c r="T34" s="150">
        <v>0.9625396690739683</v>
      </c>
      <c r="U34" s="151">
        <v>0.9361553793749489</v>
      </c>
      <c r="W34" s="162">
        <v>188</v>
      </c>
      <c r="X34" s="175">
        <v>5306253</v>
      </c>
      <c r="Y34" s="150">
        <v>1.3591885702073638</v>
      </c>
      <c r="Z34" s="151">
        <v>1.3086786912755375</v>
      </c>
      <c r="AB34" s="162">
        <v>871</v>
      </c>
      <c r="AC34" s="175">
        <v>30995232</v>
      </c>
      <c r="AD34" s="150">
        <v>1.0432783480526875</v>
      </c>
      <c r="AE34" s="151">
        <v>0.960803005773327</v>
      </c>
    </row>
    <row r="35" spans="2:31" ht="12.75">
      <c r="B35" s="134" t="s">
        <v>119</v>
      </c>
      <c r="C35" s="165">
        <v>568</v>
      </c>
      <c r="D35" s="175">
        <v>20913672</v>
      </c>
      <c r="E35" s="150">
        <v>0.7511284514815202</v>
      </c>
      <c r="F35" s="151">
        <v>0.6911416072542186</v>
      </c>
      <c r="G35" s="143"/>
      <c r="H35" s="165">
        <v>832</v>
      </c>
      <c r="I35" s="175">
        <v>23632507</v>
      </c>
      <c r="J35" s="150">
        <v>0.9565990218935936</v>
      </c>
      <c r="K35" s="151">
        <v>0.8404622594790879</v>
      </c>
      <c r="M35" s="165">
        <v>1276</v>
      </c>
      <c r="N35" s="175">
        <v>41164997</v>
      </c>
      <c r="O35" s="150">
        <v>1.0166309833971892</v>
      </c>
      <c r="P35" s="151">
        <v>0.9355685375684111</v>
      </c>
      <c r="R35" s="162">
        <v>497</v>
      </c>
      <c r="S35" s="175">
        <v>21498280</v>
      </c>
      <c r="T35" s="150">
        <v>0.9359568599592687</v>
      </c>
      <c r="U35" s="151">
        <v>0.8906038056321411</v>
      </c>
      <c r="W35" s="162">
        <v>764</v>
      </c>
      <c r="X35" s="175">
        <v>27571925</v>
      </c>
      <c r="Y35" s="150">
        <v>1.2500384296827425</v>
      </c>
      <c r="Z35" s="151">
        <v>1.223389077766121</v>
      </c>
      <c r="AB35" s="162">
        <v>3937</v>
      </c>
      <c r="AC35" s="175">
        <v>134781381</v>
      </c>
      <c r="AD35" s="150">
        <v>0.9785601424803271</v>
      </c>
      <c r="AE35" s="151">
        <v>0.9042430479053976</v>
      </c>
    </row>
    <row r="36" spans="2:31" ht="12.75">
      <c r="B36" s="134" t="s">
        <v>34</v>
      </c>
      <c r="C36" s="165">
        <v>1432</v>
      </c>
      <c r="D36" s="175">
        <v>52393626</v>
      </c>
      <c r="E36" s="150">
        <v>0.6393417137697456</v>
      </c>
      <c r="F36" s="151">
        <v>0.5996615913770614</v>
      </c>
      <c r="G36" s="143"/>
      <c r="H36" s="165">
        <v>2706</v>
      </c>
      <c r="I36" s="175">
        <v>71621921</v>
      </c>
      <c r="J36" s="150">
        <v>0.7970167914796622</v>
      </c>
      <c r="K36" s="151">
        <v>0.7273219146171093</v>
      </c>
      <c r="M36" s="165">
        <v>3540</v>
      </c>
      <c r="N36" s="175">
        <v>109327434</v>
      </c>
      <c r="O36" s="150">
        <v>0.8361345434864427</v>
      </c>
      <c r="P36" s="151">
        <v>0.7851950212884778</v>
      </c>
      <c r="R36" s="162">
        <v>1178</v>
      </c>
      <c r="S36" s="175">
        <v>43947773</v>
      </c>
      <c r="T36" s="150">
        <v>0.884945328107667</v>
      </c>
      <c r="U36" s="151">
        <v>0.8669511441885013</v>
      </c>
      <c r="W36" s="162">
        <v>1259</v>
      </c>
      <c r="X36" s="175">
        <v>47269372</v>
      </c>
      <c r="Y36" s="150">
        <v>1.0162023086227656</v>
      </c>
      <c r="Z36" s="151">
        <v>1.010553102635556</v>
      </c>
      <c r="AB36" s="162">
        <v>10115</v>
      </c>
      <c r="AC36" s="175">
        <v>324560126</v>
      </c>
      <c r="AD36" s="150">
        <v>0.813180355856397</v>
      </c>
      <c r="AE36" s="151">
        <v>0.7680995331344256</v>
      </c>
    </row>
    <row r="37" spans="2:31" ht="12.75">
      <c r="B37" s="134" t="s">
        <v>35</v>
      </c>
      <c r="C37" s="165">
        <v>3561</v>
      </c>
      <c r="D37" s="175">
        <v>129716130</v>
      </c>
      <c r="E37" s="150">
        <v>0.6574655401327276</v>
      </c>
      <c r="F37" s="151">
        <v>0.632700785652198</v>
      </c>
      <c r="G37" s="143"/>
      <c r="H37" s="165">
        <v>7202</v>
      </c>
      <c r="I37" s="175">
        <v>202219045</v>
      </c>
      <c r="J37" s="150">
        <v>0.770649499021276</v>
      </c>
      <c r="K37" s="151">
        <v>0.728660360476381</v>
      </c>
      <c r="M37" s="165">
        <v>5581</v>
      </c>
      <c r="N37" s="175">
        <v>198238019</v>
      </c>
      <c r="O37" s="150">
        <v>0.7735983011797932</v>
      </c>
      <c r="P37" s="151">
        <v>0.7446724830435024</v>
      </c>
      <c r="R37" s="162">
        <v>1825</v>
      </c>
      <c r="S37" s="175">
        <v>63708142</v>
      </c>
      <c r="T37" s="150">
        <v>0.8267079074171944</v>
      </c>
      <c r="U37" s="151">
        <v>0.7987475590889387</v>
      </c>
      <c r="W37" s="162">
        <v>1368</v>
      </c>
      <c r="X37" s="175">
        <v>48148808</v>
      </c>
      <c r="Y37" s="150">
        <v>1.071470614565941</v>
      </c>
      <c r="Z37" s="151">
        <v>1.0390539897380013</v>
      </c>
      <c r="AB37" s="162">
        <v>19537</v>
      </c>
      <c r="AC37" s="175">
        <v>642030144</v>
      </c>
      <c r="AD37" s="150">
        <v>0.7673528230453052</v>
      </c>
      <c r="AE37" s="151">
        <v>0.7338755133692526</v>
      </c>
    </row>
    <row r="38" spans="2:31" ht="12.75">
      <c r="B38" s="135" t="s">
        <v>36</v>
      </c>
      <c r="C38" s="166">
        <v>3877</v>
      </c>
      <c r="D38" s="176">
        <v>151996893</v>
      </c>
      <c r="E38" s="153">
        <v>0.6394582677131306</v>
      </c>
      <c r="F38" s="154">
        <v>0.6264666959740055</v>
      </c>
      <c r="G38" s="143"/>
      <c r="H38" s="166">
        <v>6983</v>
      </c>
      <c r="I38" s="176">
        <v>180873187</v>
      </c>
      <c r="J38" s="153">
        <v>0.7878343733010317</v>
      </c>
      <c r="K38" s="154">
        <v>0.7565938666154506</v>
      </c>
      <c r="M38" s="166">
        <v>4569</v>
      </c>
      <c r="N38" s="176">
        <v>140152529</v>
      </c>
      <c r="O38" s="153">
        <v>0.792875585451156</v>
      </c>
      <c r="P38" s="154">
        <v>0.7547479041709003</v>
      </c>
      <c r="R38" s="163">
        <v>1085</v>
      </c>
      <c r="S38" s="176">
        <v>38840948</v>
      </c>
      <c r="T38" s="153">
        <v>0.8203409907237743</v>
      </c>
      <c r="U38" s="154">
        <v>0.7831599536582282</v>
      </c>
      <c r="W38" s="163">
        <v>1365</v>
      </c>
      <c r="X38" s="176">
        <v>45400178</v>
      </c>
      <c r="Y38" s="153">
        <v>1.0105650691187658</v>
      </c>
      <c r="Z38" s="154">
        <v>0.965789705050348</v>
      </c>
      <c r="AB38" s="163">
        <v>17879</v>
      </c>
      <c r="AC38" s="176">
        <v>557263735</v>
      </c>
      <c r="AD38" s="153">
        <v>0.7652894765679619</v>
      </c>
      <c r="AE38" s="154">
        <v>0.7294160494039832</v>
      </c>
    </row>
    <row r="39" spans="5:31" ht="12.75">
      <c r="E39" s="145"/>
      <c r="F39" s="145"/>
      <c r="J39" s="145"/>
      <c r="K39" s="145"/>
      <c r="O39" s="145"/>
      <c r="P39" s="145"/>
      <c r="T39" s="145"/>
      <c r="U39" s="145"/>
      <c r="Y39" s="145"/>
      <c r="Z39" s="145"/>
      <c r="AC39" s="128"/>
      <c r="AD39" s="145"/>
      <c r="AE39" s="145"/>
    </row>
    <row r="40" spans="1:31" ht="12.75">
      <c r="A40" s="139" t="s">
        <v>218</v>
      </c>
      <c r="B40" s="133" t="s">
        <v>159</v>
      </c>
      <c r="C40" s="179">
        <v>810</v>
      </c>
      <c r="D40" s="174">
        <v>4235070</v>
      </c>
      <c r="E40" s="147">
        <v>0.769004121150046</v>
      </c>
      <c r="F40" s="148">
        <v>0.7392651368960653</v>
      </c>
      <c r="G40" s="143"/>
      <c r="H40" s="164">
        <v>3316</v>
      </c>
      <c r="I40" s="174">
        <v>17794564</v>
      </c>
      <c r="J40" s="147">
        <v>0.903981017358231</v>
      </c>
      <c r="K40" s="148">
        <v>0.9050988209272206</v>
      </c>
      <c r="M40" s="164">
        <v>1584</v>
      </c>
      <c r="N40" s="174">
        <v>8591176</v>
      </c>
      <c r="O40" s="147">
        <v>0.9450377781536596</v>
      </c>
      <c r="P40" s="148">
        <v>0.9294117551909202</v>
      </c>
      <c r="R40" s="161">
        <v>260</v>
      </c>
      <c r="S40" s="174">
        <v>1491911</v>
      </c>
      <c r="T40" s="147">
        <v>0.9855397439181082</v>
      </c>
      <c r="U40" s="148">
        <v>0.9528520657094217</v>
      </c>
      <c r="W40" s="161">
        <v>487</v>
      </c>
      <c r="X40" s="174">
        <v>2439621</v>
      </c>
      <c r="Y40" s="147">
        <v>1.19963973365436</v>
      </c>
      <c r="Z40" s="148">
        <v>1.179677008959618</v>
      </c>
      <c r="AB40" s="161">
        <v>6457</v>
      </c>
      <c r="AC40" s="174">
        <v>34552342</v>
      </c>
      <c r="AD40" s="147">
        <v>0.9136286981955105</v>
      </c>
      <c r="AE40" s="148">
        <v>0.9029383917741323</v>
      </c>
    </row>
    <row r="41" spans="1:31" ht="12.75">
      <c r="A41" s="139" t="s">
        <v>219</v>
      </c>
      <c r="B41" s="134" t="s">
        <v>160</v>
      </c>
      <c r="C41" s="165">
        <v>1993</v>
      </c>
      <c r="D41" s="175">
        <v>29710534</v>
      </c>
      <c r="E41" s="150">
        <v>0.7100192270214094</v>
      </c>
      <c r="F41" s="151">
        <v>0.7004326741568674</v>
      </c>
      <c r="G41" s="143"/>
      <c r="H41" s="165">
        <v>5108</v>
      </c>
      <c r="I41" s="175">
        <v>61714825</v>
      </c>
      <c r="J41" s="150">
        <v>0.8429376323680636</v>
      </c>
      <c r="K41" s="151">
        <v>0.8359363216311477</v>
      </c>
      <c r="M41" s="165">
        <v>3721</v>
      </c>
      <c r="N41" s="175">
        <v>46134794</v>
      </c>
      <c r="O41" s="150">
        <v>0.9017180493850959</v>
      </c>
      <c r="P41" s="151">
        <v>0.8884098235858807</v>
      </c>
      <c r="R41" s="162">
        <v>1131</v>
      </c>
      <c r="S41" s="175">
        <v>16210217</v>
      </c>
      <c r="T41" s="150">
        <v>0.9273189465305804</v>
      </c>
      <c r="U41" s="151">
        <v>0.9354358842714078</v>
      </c>
      <c r="W41" s="162">
        <v>1099</v>
      </c>
      <c r="X41" s="175">
        <v>15769529</v>
      </c>
      <c r="Y41" s="150">
        <v>1.1560519011972996</v>
      </c>
      <c r="Z41" s="151">
        <v>1.149932395134124</v>
      </c>
      <c r="AB41" s="162">
        <v>13052</v>
      </c>
      <c r="AC41" s="175">
        <v>169539899</v>
      </c>
      <c r="AD41" s="150">
        <v>0.8607461477430522</v>
      </c>
      <c r="AE41" s="151">
        <v>0.8510325271431761</v>
      </c>
    </row>
    <row r="42" spans="2:31" ht="12.75">
      <c r="B42" s="134" t="s">
        <v>161</v>
      </c>
      <c r="C42" s="165">
        <v>2725</v>
      </c>
      <c r="D42" s="175">
        <v>85694465</v>
      </c>
      <c r="E42" s="150">
        <v>0.644335384696996</v>
      </c>
      <c r="F42" s="151">
        <v>0.6430194285941543</v>
      </c>
      <c r="G42" s="143"/>
      <c r="H42" s="165">
        <v>4542</v>
      </c>
      <c r="I42" s="175">
        <v>126634128</v>
      </c>
      <c r="J42" s="150">
        <v>0.744213871100854</v>
      </c>
      <c r="K42" s="151">
        <v>0.7394607786438651</v>
      </c>
      <c r="M42" s="165">
        <v>4530</v>
      </c>
      <c r="N42" s="175">
        <v>130522805</v>
      </c>
      <c r="O42" s="150">
        <v>0.8430782367614553</v>
      </c>
      <c r="P42" s="151">
        <v>0.8399442862554445</v>
      </c>
      <c r="R42" s="162">
        <v>1430</v>
      </c>
      <c r="S42" s="175">
        <v>44065051</v>
      </c>
      <c r="T42" s="150">
        <v>0.8485172327500856</v>
      </c>
      <c r="U42" s="151">
        <v>0.8427036278002035</v>
      </c>
      <c r="W42" s="162">
        <v>1624</v>
      </c>
      <c r="X42" s="175">
        <v>49444663</v>
      </c>
      <c r="Y42" s="150">
        <v>1.0843928320939333</v>
      </c>
      <c r="Z42" s="151">
        <v>1.0843220462723282</v>
      </c>
      <c r="AB42" s="162">
        <v>14851</v>
      </c>
      <c r="AC42" s="175">
        <v>436361112</v>
      </c>
      <c r="AD42" s="150">
        <v>0.7862530843650887</v>
      </c>
      <c r="AE42" s="151">
        <v>0.7822823328860086</v>
      </c>
    </row>
    <row r="43" spans="2:31" ht="12.75">
      <c r="B43" s="135" t="s">
        <v>162</v>
      </c>
      <c r="C43" s="166">
        <v>4168</v>
      </c>
      <c r="D43" s="176">
        <v>245348234</v>
      </c>
      <c r="E43" s="153">
        <v>0.6252821233035131</v>
      </c>
      <c r="F43" s="154">
        <v>0.6205235394415811</v>
      </c>
      <c r="G43" s="143"/>
      <c r="H43" s="166">
        <v>4995</v>
      </c>
      <c r="I43" s="176">
        <v>281257131</v>
      </c>
      <c r="J43" s="153">
        <v>0.7227277814384514</v>
      </c>
      <c r="K43" s="154">
        <v>0.7232252972749699</v>
      </c>
      <c r="M43" s="166">
        <v>5847</v>
      </c>
      <c r="N43" s="176">
        <v>328340879</v>
      </c>
      <c r="O43" s="153">
        <v>0.750550177541127</v>
      </c>
      <c r="P43" s="154">
        <v>0.749577445524949</v>
      </c>
      <c r="R43" s="163">
        <v>1970</v>
      </c>
      <c r="S43" s="176">
        <v>116437733</v>
      </c>
      <c r="T43" s="153">
        <v>0.8104278183454189</v>
      </c>
      <c r="U43" s="154">
        <v>0.8105382891875315</v>
      </c>
      <c r="W43" s="163">
        <v>1913</v>
      </c>
      <c r="X43" s="176">
        <v>111962967</v>
      </c>
      <c r="Y43" s="153">
        <v>1.0318316615565768</v>
      </c>
      <c r="Z43" s="154">
        <v>1.0327948823364241</v>
      </c>
      <c r="AB43" s="163">
        <v>18893</v>
      </c>
      <c r="AC43" s="176">
        <v>1083346944</v>
      </c>
      <c r="AD43" s="153">
        <v>0.7365062684008458</v>
      </c>
      <c r="AE43" s="154">
        <v>0.7347818047626565</v>
      </c>
    </row>
    <row r="44" spans="5:31" ht="12.75">
      <c r="E44" s="145"/>
      <c r="F44" s="145"/>
      <c r="J44" s="145"/>
      <c r="K44" s="145"/>
      <c r="O44" s="145"/>
      <c r="P44" s="145"/>
      <c r="T44" s="145"/>
      <c r="U44" s="145"/>
      <c r="Y44" s="145"/>
      <c r="Z44" s="145"/>
      <c r="AC44" s="128"/>
      <c r="AD44" s="145"/>
      <c r="AE44" s="145"/>
    </row>
    <row r="45" spans="1:31" ht="12.75">
      <c r="A45" s="139" t="s">
        <v>224</v>
      </c>
      <c r="B45" s="133" t="s">
        <v>220</v>
      </c>
      <c r="C45" s="179">
        <v>4768</v>
      </c>
      <c r="D45" s="174">
        <v>179792390</v>
      </c>
      <c r="E45" s="147">
        <v>0.6559244221869984</v>
      </c>
      <c r="F45" s="148">
        <v>0.6330259073268819</v>
      </c>
      <c r="G45" s="143"/>
      <c r="H45" s="164">
        <v>9960</v>
      </c>
      <c r="I45" s="174">
        <v>267787463</v>
      </c>
      <c r="J45" s="147">
        <v>0.7943073801975258</v>
      </c>
      <c r="K45" s="148">
        <v>0.7419119598033321</v>
      </c>
      <c r="M45" s="164">
        <v>7885</v>
      </c>
      <c r="N45" s="174">
        <v>254812367</v>
      </c>
      <c r="O45" s="147">
        <v>0.8396285079692333</v>
      </c>
      <c r="P45" s="148">
        <v>0.791859904968305</v>
      </c>
      <c r="R45" s="161">
        <v>2380</v>
      </c>
      <c r="S45" s="174">
        <v>88731614</v>
      </c>
      <c r="T45" s="147">
        <v>0.863866109290083</v>
      </c>
      <c r="U45" s="148">
        <v>0.8432041137983313</v>
      </c>
      <c r="W45" s="161">
        <v>2507</v>
      </c>
      <c r="X45" s="174">
        <v>87648246</v>
      </c>
      <c r="Y45" s="147">
        <v>1.1077371449600744</v>
      </c>
      <c r="Z45" s="148">
        <v>1.077563293052248</v>
      </c>
      <c r="AB45" s="161">
        <v>27500</v>
      </c>
      <c r="AC45" s="174">
        <v>878772080</v>
      </c>
      <c r="AD45" s="147">
        <v>0.8036789605554336</v>
      </c>
      <c r="AE45" s="148">
        <v>0.7619476420945395</v>
      </c>
    </row>
    <row r="46" spans="1:31" ht="12.75">
      <c r="A46" s="139" t="s">
        <v>225</v>
      </c>
      <c r="B46" s="135" t="s">
        <v>221</v>
      </c>
      <c r="C46" s="166">
        <v>4928</v>
      </c>
      <c r="D46" s="176">
        <v>185195913</v>
      </c>
      <c r="E46" s="153">
        <v>0.658286560312189</v>
      </c>
      <c r="F46" s="154">
        <v>0.6325353194503811</v>
      </c>
      <c r="G46" s="143"/>
      <c r="H46" s="166">
        <v>8001</v>
      </c>
      <c r="I46" s="176">
        <v>219613185</v>
      </c>
      <c r="J46" s="153">
        <v>0.7841693787197166</v>
      </c>
      <c r="K46" s="154">
        <v>0.7503269619339766</v>
      </c>
      <c r="M46" s="166">
        <v>7797</v>
      </c>
      <c r="N46" s="176">
        <v>258777287</v>
      </c>
      <c r="O46" s="153">
        <v>0.8143008958299931</v>
      </c>
      <c r="P46" s="154">
        <v>0.7775460250540565</v>
      </c>
      <c r="R46" s="163">
        <v>2411</v>
      </c>
      <c r="S46" s="152">
        <v>89473298</v>
      </c>
      <c r="T46" s="153">
        <v>0.8475973401474328</v>
      </c>
      <c r="U46" s="154">
        <v>0.8163009749123186</v>
      </c>
      <c r="W46" s="163">
        <v>2616</v>
      </c>
      <c r="X46" s="152">
        <v>91968534</v>
      </c>
      <c r="Y46" s="153">
        <v>1.0699258987154556</v>
      </c>
      <c r="Z46" s="154">
        <v>1.0397853533205035</v>
      </c>
      <c r="AB46" s="163">
        <v>25753</v>
      </c>
      <c r="AC46" s="152">
        <v>845028217</v>
      </c>
      <c r="AD46" s="153">
        <v>0.7910885181197305</v>
      </c>
      <c r="AE46" s="154">
        <v>0.7569603625535916</v>
      </c>
    </row>
    <row r="49" ht="12.75">
      <c r="B49" s="130" t="s">
        <v>242</v>
      </c>
    </row>
    <row r="50" ht="12.75">
      <c r="B50" s="130" t="s">
        <v>271</v>
      </c>
    </row>
  </sheetData>
  <sheetProtection/>
  <mergeCells count="20">
    <mergeCell ref="A6:AB6"/>
    <mergeCell ref="T10:U10"/>
    <mergeCell ref="W10:X10"/>
    <mergeCell ref="A7:AA7"/>
    <mergeCell ref="C8:F8"/>
    <mergeCell ref="H8:K8"/>
    <mergeCell ref="M8:P8"/>
    <mergeCell ref="R8:U8"/>
    <mergeCell ref="W8:Z8"/>
    <mergeCell ref="Y10:Z10"/>
    <mergeCell ref="AB10:AC10"/>
    <mergeCell ref="AD10:AE10"/>
    <mergeCell ref="AB8:AE8"/>
    <mergeCell ref="C10:D10"/>
    <mergeCell ref="E10:F10"/>
    <mergeCell ref="H10:I10"/>
    <mergeCell ref="J10:K10"/>
    <mergeCell ref="M10:N10"/>
    <mergeCell ref="O10:P10"/>
    <mergeCell ref="R10:S10"/>
  </mergeCells>
  <printOptions/>
  <pageMargins left="0.75" right="0.75" top="1" bottom="1" header="0.5" footer="0.5"/>
  <pageSetup fitToHeight="4" fitToWidth="1" horizontalDpi="600" verticalDpi="600" orientation="landscape" scale="41" r:id="rId1"/>
  <headerFooter alignWithMargins="0">
    <oddFooter>&amp;L&amp;F&amp;R&amp;"Arial,Italic"&amp;A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E52"/>
  <sheetViews>
    <sheetView zoomScale="85" zoomScaleNormal="85" zoomScaleSheetLayoutView="85" zoomScalePageLayoutView="0" workbookViewId="0" topLeftCell="A7">
      <selection activeCell="B52" sqref="B52"/>
    </sheetView>
  </sheetViews>
  <sheetFormatPr defaultColWidth="9.140625" defaultRowHeight="12.75"/>
  <cols>
    <col min="1" max="1" width="12.421875" style="139" bestFit="1" customWidth="1"/>
    <col min="2" max="2" width="26.28125" style="130" bestFit="1" customWidth="1"/>
    <col min="3" max="3" width="9.28125" style="158" bestFit="1" customWidth="1"/>
    <col min="4" max="4" width="15.57421875" style="128" bestFit="1" customWidth="1"/>
    <col min="5" max="5" width="9.140625" style="127" bestFit="1" customWidth="1"/>
    <col min="6" max="6" width="10.7109375" style="127" customWidth="1"/>
    <col min="7" max="7" width="2.7109375" style="127" customWidth="1"/>
    <col min="8" max="8" width="9.28125" style="158" bestFit="1" customWidth="1"/>
    <col min="9" max="9" width="15.8515625" style="128" bestFit="1" customWidth="1"/>
    <col min="10" max="11" width="9.28125" style="127" bestFit="1" customWidth="1"/>
    <col min="12" max="12" width="2.7109375" style="127" customWidth="1"/>
    <col min="13" max="13" width="9.28125" style="158" bestFit="1" customWidth="1"/>
    <col min="14" max="14" width="15.57421875" style="128" bestFit="1" customWidth="1"/>
    <col min="15" max="16" width="9.28125" style="127" bestFit="1" customWidth="1"/>
    <col min="17" max="17" width="2.7109375" style="128" customWidth="1"/>
    <col min="18" max="18" width="9.28125" style="158" bestFit="1" customWidth="1"/>
    <col min="19" max="19" width="15.421875" style="128" bestFit="1" customWidth="1"/>
    <col min="20" max="21" width="9.28125" style="127" bestFit="1" customWidth="1"/>
    <col min="22" max="22" width="2.7109375" style="127" customWidth="1"/>
    <col min="23" max="23" width="9.140625" style="158" customWidth="1"/>
    <col min="24" max="24" width="13.421875" style="128" bestFit="1" customWidth="1"/>
    <col min="25" max="26" width="9.140625" style="127" customWidth="1"/>
    <col min="27" max="27" width="2.7109375" style="127" customWidth="1"/>
    <col min="28" max="28" width="9.140625" style="158" customWidth="1"/>
    <col min="29" max="29" width="15.00390625" style="127" bestFit="1" customWidth="1"/>
    <col min="30" max="30" width="9.140625" style="127" customWidth="1"/>
    <col min="31" max="31" width="10.00390625" style="127" bestFit="1" customWidth="1"/>
    <col min="32" max="16384" width="9.140625" style="113" customWidth="1"/>
  </cols>
  <sheetData>
    <row r="1" spans="1:31" ht="21.75" customHeight="1">
      <c r="A1" s="1"/>
      <c r="B1" s="132"/>
      <c r="C1" s="160"/>
      <c r="D1" s="160"/>
      <c r="E1" s="144"/>
      <c r="F1" s="144"/>
      <c r="G1" s="144"/>
      <c r="H1" s="160"/>
      <c r="I1" s="160"/>
      <c r="J1" s="144"/>
      <c r="K1" s="144"/>
      <c r="L1" s="119"/>
      <c r="M1" s="167"/>
      <c r="N1" s="167"/>
      <c r="O1" s="119"/>
      <c r="P1" s="119" t="s">
        <v>222</v>
      </c>
      <c r="Q1" s="119"/>
      <c r="R1" s="167"/>
      <c r="S1" s="167"/>
      <c r="T1" s="119"/>
      <c r="U1" s="119"/>
      <c r="V1" s="119"/>
      <c r="W1" s="160"/>
      <c r="X1" s="160"/>
      <c r="Y1" s="144"/>
      <c r="Z1" s="144"/>
      <c r="AA1" s="144"/>
      <c r="AB1" s="160"/>
      <c r="AC1" s="160"/>
      <c r="AD1" s="144"/>
      <c r="AE1" s="7"/>
    </row>
    <row r="2" spans="1:31" ht="18">
      <c r="A2" s="1"/>
      <c r="B2" s="132"/>
      <c r="C2" s="160"/>
      <c r="D2" s="160"/>
      <c r="E2" s="144"/>
      <c r="F2" s="144"/>
      <c r="G2" s="144"/>
      <c r="H2" s="160"/>
      <c r="I2" s="160"/>
      <c r="J2" s="144"/>
      <c r="K2" s="144"/>
      <c r="L2" s="120"/>
      <c r="M2" s="168"/>
      <c r="N2" s="168"/>
      <c r="O2" s="120"/>
      <c r="P2" s="120" t="s">
        <v>80</v>
      </c>
      <c r="Q2" s="120"/>
      <c r="R2" s="168"/>
      <c r="S2" s="168"/>
      <c r="T2" s="120"/>
      <c r="U2" s="120"/>
      <c r="V2" s="120"/>
      <c r="W2" s="160"/>
      <c r="X2" s="160"/>
      <c r="Y2" s="144"/>
      <c r="Z2" s="144"/>
      <c r="AA2" s="144"/>
      <c r="AB2" s="160"/>
      <c r="AC2" s="160"/>
      <c r="AD2" s="144"/>
      <c r="AE2" s="7"/>
    </row>
    <row r="3" spans="1:31" ht="15.75">
      <c r="A3" s="1"/>
      <c r="B3" s="132"/>
      <c r="C3" s="160"/>
      <c r="D3" s="160"/>
      <c r="E3" s="144"/>
      <c r="F3" s="144"/>
      <c r="G3" s="144"/>
      <c r="H3" s="160"/>
      <c r="I3" s="160"/>
      <c r="J3" s="144"/>
      <c r="K3" s="144"/>
      <c r="L3" s="121"/>
      <c r="M3" s="169"/>
      <c r="N3" s="169"/>
      <c r="O3" s="121"/>
      <c r="P3" s="121" t="s">
        <v>1</v>
      </c>
      <c r="Q3" s="121"/>
      <c r="R3" s="169"/>
      <c r="S3" s="169"/>
      <c r="T3" s="121"/>
      <c r="U3" s="121"/>
      <c r="V3" s="121"/>
      <c r="W3" s="160"/>
      <c r="X3" s="160"/>
      <c r="Y3" s="144"/>
      <c r="Z3" s="144"/>
      <c r="AA3" s="144"/>
      <c r="AB3" s="160"/>
      <c r="AC3" s="160"/>
      <c r="AD3" s="144"/>
      <c r="AE3" s="7"/>
    </row>
    <row r="4" spans="1:31" ht="14.25" customHeight="1">
      <c r="A4" s="1"/>
      <c r="B4" s="132"/>
      <c r="C4" s="160"/>
      <c r="D4" s="160"/>
      <c r="E4" s="144"/>
      <c r="F4" s="144"/>
      <c r="G4" s="144"/>
      <c r="H4" s="160"/>
      <c r="I4" s="160"/>
      <c r="J4" s="144"/>
      <c r="K4" s="144"/>
      <c r="L4" s="123"/>
      <c r="M4" s="170"/>
      <c r="N4" s="170"/>
      <c r="O4" s="123"/>
      <c r="P4" s="129" t="s">
        <v>234</v>
      </c>
      <c r="Q4" s="123"/>
      <c r="R4" s="170"/>
      <c r="S4" s="170"/>
      <c r="T4" s="123"/>
      <c r="U4" s="123"/>
      <c r="V4" s="123"/>
      <c r="W4" s="160"/>
      <c r="X4" s="160"/>
      <c r="Y4" s="144"/>
      <c r="Z4" s="144"/>
      <c r="AA4" s="144"/>
      <c r="AB4" s="160"/>
      <c r="AC4" s="160"/>
      <c r="AD4" s="144"/>
      <c r="AE4" s="7"/>
    </row>
    <row r="5" spans="1:31" ht="15.75">
      <c r="A5" s="1"/>
      <c r="B5" s="132"/>
      <c r="C5" s="160"/>
      <c r="D5" s="160"/>
      <c r="E5" s="144"/>
      <c r="F5" s="144"/>
      <c r="G5" s="144"/>
      <c r="H5" s="160"/>
      <c r="I5" s="160"/>
      <c r="J5" s="144"/>
      <c r="K5" s="144"/>
      <c r="L5" s="122"/>
      <c r="M5" s="171"/>
      <c r="N5" s="171"/>
      <c r="O5" s="122"/>
      <c r="P5" s="122" t="s">
        <v>233</v>
      </c>
      <c r="Q5" s="122"/>
      <c r="R5" s="171"/>
      <c r="S5" s="171"/>
      <c r="T5" s="122"/>
      <c r="U5" s="122"/>
      <c r="V5" s="122"/>
      <c r="W5" s="160"/>
      <c r="X5" s="160"/>
      <c r="Y5" s="144"/>
      <c r="Z5" s="144"/>
      <c r="AA5" s="144"/>
      <c r="AB5" s="160"/>
      <c r="AC5" s="160"/>
      <c r="AD5" s="144"/>
      <c r="AE5" s="7"/>
    </row>
    <row r="6" spans="1:28" ht="12.75">
      <c r="A6" s="679"/>
      <c r="B6" s="679"/>
      <c r="C6" s="679"/>
      <c r="D6" s="679"/>
      <c r="E6" s="679"/>
      <c r="F6" s="679"/>
      <c r="G6" s="679"/>
      <c r="H6" s="679"/>
      <c r="I6" s="679"/>
      <c r="J6" s="679"/>
      <c r="K6" s="679"/>
      <c r="L6" s="679"/>
      <c r="M6" s="679"/>
      <c r="N6" s="679"/>
      <c r="O6" s="679"/>
      <c r="P6" s="679"/>
      <c r="Q6" s="679"/>
      <c r="R6" s="679"/>
      <c r="S6" s="679"/>
      <c r="T6" s="679"/>
      <c r="U6" s="679"/>
      <c r="V6" s="679"/>
      <c r="W6" s="679"/>
      <c r="X6" s="679"/>
      <c r="Y6" s="679"/>
      <c r="Z6" s="679"/>
      <c r="AA6" s="679"/>
      <c r="AB6" s="679"/>
    </row>
    <row r="7" spans="1:27" ht="12.75">
      <c r="A7" s="678" t="s">
        <v>227</v>
      </c>
      <c r="B7" s="678"/>
      <c r="C7" s="678"/>
      <c r="D7" s="678"/>
      <c r="E7" s="678"/>
      <c r="F7" s="678"/>
      <c r="G7" s="678"/>
      <c r="H7" s="678"/>
      <c r="I7" s="678"/>
      <c r="J7" s="678"/>
      <c r="K7" s="678"/>
      <c r="L7" s="678"/>
      <c r="M7" s="678"/>
      <c r="N7" s="678"/>
      <c r="O7" s="678"/>
      <c r="P7" s="678"/>
      <c r="Q7" s="678"/>
      <c r="R7" s="678"/>
      <c r="S7" s="678"/>
      <c r="T7" s="678"/>
      <c r="U7" s="678"/>
      <c r="V7" s="678"/>
      <c r="W7" s="678"/>
      <c r="X7" s="678"/>
      <c r="Y7" s="678"/>
      <c r="Z7" s="678"/>
      <c r="AA7" s="678"/>
    </row>
    <row r="8" spans="3:31" ht="12.75">
      <c r="C8" s="678" t="s">
        <v>209</v>
      </c>
      <c r="D8" s="678"/>
      <c r="E8" s="678"/>
      <c r="F8" s="678"/>
      <c r="G8" s="126"/>
      <c r="H8" s="678" t="s">
        <v>210</v>
      </c>
      <c r="I8" s="678"/>
      <c r="J8" s="678"/>
      <c r="K8" s="678"/>
      <c r="M8" s="678" t="s">
        <v>211</v>
      </c>
      <c r="N8" s="678"/>
      <c r="O8" s="678"/>
      <c r="P8" s="678"/>
      <c r="Q8" s="127"/>
      <c r="R8" s="678" t="s">
        <v>212</v>
      </c>
      <c r="S8" s="678"/>
      <c r="T8" s="678"/>
      <c r="U8" s="678"/>
      <c r="W8" s="678" t="s">
        <v>213</v>
      </c>
      <c r="X8" s="678"/>
      <c r="Y8" s="678"/>
      <c r="Z8" s="678"/>
      <c r="AB8" s="678" t="s">
        <v>214</v>
      </c>
      <c r="AC8" s="678"/>
      <c r="AD8" s="678"/>
      <c r="AE8" s="678"/>
    </row>
    <row r="10" spans="3:31" ht="12.75">
      <c r="C10" s="677" t="s">
        <v>215</v>
      </c>
      <c r="D10" s="677"/>
      <c r="E10" s="677" t="s">
        <v>216</v>
      </c>
      <c r="F10" s="677"/>
      <c r="H10" s="677" t="s">
        <v>215</v>
      </c>
      <c r="I10" s="677"/>
      <c r="J10" s="677" t="s">
        <v>216</v>
      </c>
      <c r="K10" s="677"/>
      <c r="M10" s="677" t="s">
        <v>215</v>
      </c>
      <c r="N10" s="677"/>
      <c r="O10" s="677" t="s">
        <v>216</v>
      </c>
      <c r="P10" s="677"/>
      <c r="R10" s="677" t="s">
        <v>215</v>
      </c>
      <c r="S10" s="677"/>
      <c r="T10" s="677" t="s">
        <v>216</v>
      </c>
      <c r="U10" s="677"/>
      <c r="W10" s="677" t="s">
        <v>215</v>
      </c>
      <c r="X10" s="677"/>
      <c r="Y10" s="677" t="s">
        <v>216</v>
      </c>
      <c r="Z10" s="677"/>
      <c r="AB10" s="677" t="s">
        <v>215</v>
      </c>
      <c r="AC10" s="677"/>
      <c r="AD10" s="677" t="s">
        <v>216</v>
      </c>
      <c r="AE10" s="677"/>
    </row>
    <row r="11" spans="3:31" ht="12.75">
      <c r="C11" s="158" t="s">
        <v>258</v>
      </c>
      <c r="D11" s="128" t="s">
        <v>217</v>
      </c>
      <c r="E11" s="127" t="s">
        <v>258</v>
      </c>
      <c r="F11" s="127" t="s">
        <v>217</v>
      </c>
      <c r="H11" s="158" t="s">
        <v>258</v>
      </c>
      <c r="I11" s="128" t="s">
        <v>217</v>
      </c>
      <c r="J11" s="127" t="s">
        <v>258</v>
      </c>
      <c r="K11" s="127" t="s">
        <v>217</v>
      </c>
      <c r="M11" s="158" t="s">
        <v>258</v>
      </c>
      <c r="N11" s="128" t="s">
        <v>217</v>
      </c>
      <c r="O11" s="127" t="s">
        <v>258</v>
      </c>
      <c r="P11" s="127" t="s">
        <v>217</v>
      </c>
      <c r="R11" s="158" t="s">
        <v>258</v>
      </c>
      <c r="S11" s="128" t="s">
        <v>217</v>
      </c>
      <c r="T11" s="127" t="s">
        <v>258</v>
      </c>
      <c r="U11" s="127" t="s">
        <v>217</v>
      </c>
      <c r="W11" s="158" t="s">
        <v>258</v>
      </c>
      <c r="X11" s="128" t="s">
        <v>217</v>
      </c>
      <c r="Y11" s="127" t="s">
        <v>258</v>
      </c>
      <c r="Z11" s="127" t="s">
        <v>217</v>
      </c>
      <c r="AB11" s="158" t="s">
        <v>258</v>
      </c>
      <c r="AC11" s="128" t="s">
        <v>217</v>
      </c>
      <c r="AD11" s="127" t="s">
        <v>258</v>
      </c>
      <c r="AE11" s="127" t="s">
        <v>217</v>
      </c>
    </row>
    <row r="12" ht="12.75">
      <c r="AC12" s="128"/>
    </row>
    <row r="13" spans="1:31" ht="12.75">
      <c r="A13" s="139" t="s">
        <v>10</v>
      </c>
      <c r="B13" s="131"/>
      <c r="C13" s="159">
        <v>4390</v>
      </c>
      <c r="D13" s="140">
        <v>1548586115</v>
      </c>
      <c r="E13" s="141">
        <v>0.5084019095997322</v>
      </c>
      <c r="F13" s="142">
        <v>0.48062780150394485</v>
      </c>
      <c r="G13" s="143"/>
      <c r="H13" s="159">
        <v>9332</v>
      </c>
      <c r="I13" s="140">
        <v>2419111054</v>
      </c>
      <c r="J13" s="141">
        <v>0.6339282186747639</v>
      </c>
      <c r="K13" s="142">
        <v>0.5801990555631121</v>
      </c>
      <c r="M13" s="159">
        <v>4555</v>
      </c>
      <c r="N13" s="140">
        <v>1174055372</v>
      </c>
      <c r="O13" s="141">
        <v>0.6478868381362148</v>
      </c>
      <c r="P13" s="142">
        <v>0.6237647129332676</v>
      </c>
      <c r="R13" s="159">
        <v>4143</v>
      </c>
      <c r="S13" s="140">
        <v>1232074995</v>
      </c>
      <c r="T13" s="141">
        <v>0.723284227007227</v>
      </c>
      <c r="U13" s="142">
        <v>0.6940140673321553</v>
      </c>
      <c r="W13" s="159">
        <v>3928</v>
      </c>
      <c r="X13" s="140">
        <v>900210807</v>
      </c>
      <c r="Y13" s="141">
        <v>0.7578233360579648</v>
      </c>
      <c r="Z13" s="142">
        <v>0.7618872742877038</v>
      </c>
      <c r="AB13" s="159">
        <v>26348</v>
      </c>
      <c r="AC13" s="140">
        <v>7274038343</v>
      </c>
      <c r="AD13" s="141">
        <v>0.638002191764351</v>
      </c>
      <c r="AE13" s="142">
        <v>0.594745405117349</v>
      </c>
    </row>
    <row r="14" spans="5:31" ht="12.75">
      <c r="E14" s="145"/>
      <c r="F14" s="145"/>
      <c r="J14" s="145"/>
      <c r="K14" s="145"/>
      <c r="O14" s="145"/>
      <c r="P14" s="145"/>
      <c r="T14" s="145"/>
      <c r="U14" s="145"/>
      <c r="Y14" s="145"/>
      <c r="Z14" s="145"/>
      <c r="AC14" s="128"/>
      <c r="AD14" s="145"/>
      <c r="AE14" s="145"/>
    </row>
    <row r="15" spans="1:31" ht="12.75">
      <c r="A15" s="112" t="s">
        <v>11</v>
      </c>
      <c r="B15" s="133" t="s">
        <v>16</v>
      </c>
      <c r="C15" s="161">
        <v>53</v>
      </c>
      <c r="D15" s="146">
        <v>8895647</v>
      </c>
      <c r="E15" s="147">
        <v>0.7294777269804347</v>
      </c>
      <c r="F15" s="148">
        <v>0.5942105126636348</v>
      </c>
      <c r="G15" s="143"/>
      <c r="H15" s="161">
        <v>128</v>
      </c>
      <c r="I15" s="146">
        <v>17928298</v>
      </c>
      <c r="J15" s="147">
        <v>0.8739112039307906</v>
      </c>
      <c r="K15" s="148">
        <v>0.7171848532277497</v>
      </c>
      <c r="M15" s="161">
        <v>82</v>
      </c>
      <c r="N15" s="146">
        <v>13492072</v>
      </c>
      <c r="O15" s="147">
        <v>0.7282388467112273</v>
      </c>
      <c r="P15" s="148">
        <v>0.7673972965386362</v>
      </c>
      <c r="R15" s="181">
        <v>48</v>
      </c>
      <c r="S15" s="146">
        <v>6936139</v>
      </c>
      <c r="T15" s="147">
        <v>1.0302553809916613</v>
      </c>
      <c r="U15" s="148">
        <v>0.7734841525639644</v>
      </c>
      <c r="W15" s="161">
        <v>41</v>
      </c>
      <c r="X15" s="146">
        <v>7531886</v>
      </c>
      <c r="Y15" s="147">
        <v>1.120290510456271</v>
      </c>
      <c r="Z15" s="148">
        <v>1.173062628952991</v>
      </c>
      <c r="AB15" s="161">
        <v>352</v>
      </c>
      <c r="AC15" s="146">
        <v>54784042</v>
      </c>
      <c r="AD15" s="147">
        <v>0.8483744049779963</v>
      </c>
      <c r="AE15" s="148">
        <v>0.7511002949381399</v>
      </c>
    </row>
    <row r="16" spans="2:31" ht="12.75">
      <c r="B16" s="134" t="s">
        <v>17</v>
      </c>
      <c r="C16" s="162">
        <v>205</v>
      </c>
      <c r="D16" s="149">
        <v>52299339</v>
      </c>
      <c r="E16" s="150">
        <v>0.5824650129604112</v>
      </c>
      <c r="F16" s="151">
        <v>0.6059772868138916</v>
      </c>
      <c r="G16" s="143"/>
      <c r="H16" s="162">
        <v>365</v>
      </c>
      <c r="I16" s="149">
        <v>62438236</v>
      </c>
      <c r="J16" s="150">
        <v>0.7062573647889081</v>
      </c>
      <c r="K16" s="151">
        <v>0.6526011411142881</v>
      </c>
      <c r="M16" s="162">
        <v>283</v>
      </c>
      <c r="N16" s="149">
        <v>53729630</v>
      </c>
      <c r="O16" s="150">
        <v>0.713120890168396</v>
      </c>
      <c r="P16" s="151">
        <v>0.7367988422125038</v>
      </c>
      <c r="R16" s="182">
        <v>94</v>
      </c>
      <c r="S16" s="149">
        <v>27255842</v>
      </c>
      <c r="T16" s="150">
        <v>0.6176817850635596</v>
      </c>
      <c r="U16" s="151">
        <v>0.6975002325722076</v>
      </c>
      <c r="W16" s="162">
        <v>92</v>
      </c>
      <c r="X16" s="149">
        <v>19817513</v>
      </c>
      <c r="Y16" s="150">
        <v>0.7673942203370661</v>
      </c>
      <c r="Z16" s="151">
        <v>0.8317333462348433</v>
      </c>
      <c r="AB16" s="162">
        <v>1039</v>
      </c>
      <c r="AC16" s="149">
        <v>215540560</v>
      </c>
      <c r="AD16" s="150">
        <v>0.675694768187733</v>
      </c>
      <c r="AE16" s="151">
        <v>0.6782099500401326</v>
      </c>
    </row>
    <row r="17" spans="2:31" ht="12.75">
      <c r="B17" s="134" t="s">
        <v>18</v>
      </c>
      <c r="C17" s="162">
        <v>416</v>
      </c>
      <c r="D17" s="149">
        <v>134566833</v>
      </c>
      <c r="E17" s="150">
        <v>0.506552487787637</v>
      </c>
      <c r="F17" s="151">
        <v>0.5122704701237047</v>
      </c>
      <c r="G17" s="143"/>
      <c r="H17" s="162">
        <v>731</v>
      </c>
      <c r="I17" s="149">
        <v>145491403</v>
      </c>
      <c r="J17" s="150">
        <v>0.6563217372116261</v>
      </c>
      <c r="K17" s="151">
        <v>0.5843058688552151</v>
      </c>
      <c r="M17" s="162">
        <v>510</v>
      </c>
      <c r="N17" s="149">
        <v>113539082</v>
      </c>
      <c r="O17" s="150">
        <v>0.6735299278269045</v>
      </c>
      <c r="P17" s="151">
        <v>0.669756926556</v>
      </c>
      <c r="R17" s="182">
        <v>220</v>
      </c>
      <c r="S17" s="149">
        <v>80032760</v>
      </c>
      <c r="T17" s="150">
        <v>0.6695873050386119</v>
      </c>
      <c r="U17" s="151">
        <v>0.7758280456975502</v>
      </c>
      <c r="W17" s="162">
        <v>239</v>
      </c>
      <c r="X17" s="149">
        <v>58924872</v>
      </c>
      <c r="Y17" s="150">
        <v>0.7790516594370693</v>
      </c>
      <c r="Z17" s="151">
        <v>0.8224449202347042</v>
      </c>
      <c r="AB17" s="162">
        <v>2116</v>
      </c>
      <c r="AC17" s="149">
        <v>532554950</v>
      </c>
      <c r="AD17" s="150">
        <v>0.6358996211531729</v>
      </c>
      <c r="AE17" s="151">
        <v>0.6221345938053814</v>
      </c>
    </row>
    <row r="18" spans="2:31" ht="12.75">
      <c r="B18" s="134" t="s">
        <v>19</v>
      </c>
      <c r="C18" s="162">
        <v>488</v>
      </c>
      <c r="D18" s="149">
        <v>160713715</v>
      </c>
      <c r="E18" s="150">
        <v>0.4480860907071492</v>
      </c>
      <c r="F18" s="151">
        <v>0.40984341168008187</v>
      </c>
      <c r="G18" s="143"/>
      <c r="H18" s="162">
        <v>982</v>
      </c>
      <c r="I18" s="149">
        <v>234169247</v>
      </c>
      <c r="J18" s="150">
        <v>0.5897501366199397</v>
      </c>
      <c r="K18" s="151">
        <v>0.5487857206230636</v>
      </c>
      <c r="M18" s="162">
        <v>639</v>
      </c>
      <c r="N18" s="149">
        <v>157115327</v>
      </c>
      <c r="O18" s="150">
        <v>0.649427599189138</v>
      </c>
      <c r="P18" s="151">
        <v>0.6076550313865537</v>
      </c>
      <c r="R18" s="182">
        <v>356</v>
      </c>
      <c r="S18" s="149">
        <v>107020454</v>
      </c>
      <c r="T18" s="150">
        <v>0.7124573691326846</v>
      </c>
      <c r="U18" s="151">
        <v>0.6136125499301927</v>
      </c>
      <c r="W18" s="162">
        <v>441</v>
      </c>
      <c r="X18" s="149">
        <v>107041454</v>
      </c>
      <c r="Y18" s="150">
        <v>0.78835158864822</v>
      </c>
      <c r="Z18" s="151">
        <v>0.8271459888065555</v>
      </c>
      <c r="AB18" s="162">
        <v>2906</v>
      </c>
      <c r="AC18" s="149">
        <v>766060197</v>
      </c>
      <c r="AD18" s="150">
        <v>0.6057692900184602</v>
      </c>
      <c r="AE18" s="151">
        <v>0.5546258006059219</v>
      </c>
    </row>
    <row r="19" spans="2:31" ht="12.75">
      <c r="B19" s="134" t="s">
        <v>104</v>
      </c>
      <c r="C19" s="162">
        <v>585</v>
      </c>
      <c r="D19" s="149">
        <v>240094664</v>
      </c>
      <c r="E19" s="150">
        <v>0.48759961660166856</v>
      </c>
      <c r="F19" s="151">
        <v>0.5324566454194578</v>
      </c>
      <c r="G19" s="143"/>
      <c r="H19" s="162">
        <v>1181</v>
      </c>
      <c r="I19" s="149">
        <v>294269324</v>
      </c>
      <c r="J19" s="150">
        <v>0.6000990310758236</v>
      </c>
      <c r="K19" s="151">
        <v>0.5389491895282957</v>
      </c>
      <c r="M19" s="162">
        <v>666</v>
      </c>
      <c r="N19" s="149">
        <v>184087354</v>
      </c>
      <c r="O19" s="150">
        <v>0.6313546652843797</v>
      </c>
      <c r="P19" s="151">
        <v>0.621428393772767</v>
      </c>
      <c r="R19" s="182">
        <v>431</v>
      </c>
      <c r="S19" s="149">
        <v>159029217</v>
      </c>
      <c r="T19" s="150">
        <v>0.6640988895326607</v>
      </c>
      <c r="U19" s="151">
        <v>0.694093306393406</v>
      </c>
      <c r="W19" s="162">
        <v>491</v>
      </c>
      <c r="X19" s="149">
        <v>114451101</v>
      </c>
      <c r="Y19" s="150">
        <v>0.692919451274967</v>
      </c>
      <c r="Z19" s="151">
        <v>0.6792070811153681</v>
      </c>
      <c r="AB19" s="162">
        <v>3354</v>
      </c>
      <c r="AC19" s="149">
        <v>991931660</v>
      </c>
      <c r="AD19" s="150">
        <v>0.6010500904196658</v>
      </c>
      <c r="AE19" s="151">
        <v>0.5866703927925109</v>
      </c>
    </row>
    <row r="20" spans="2:31" ht="12.75">
      <c r="B20" s="134" t="s">
        <v>105</v>
      </c>
      <c r="C20" s="162">
        <v>547</v>
      </c>
      <c r="D20" s="149">
        <v>190781888</v>
      </c>
      <c r="E20" s="150">
        <v>0.4663128003247289</v>
      </c>
      <c r="F20" s="151">
        <v>0.4269506273168758</v>
      </c>
      <c r="G20" s="143"/>
      <c r="H20" s="162">
        <v>1214</v>
      </c>
      <c r="I20" s="149">
        <v>320132084</v>
      </c>
      <c r="J20" s="150">
        <v>0.579506584989643</v>
      </c>
      <c r="K20" s="151">
        <v>0.5346736631736305</v>
      </c>
      <c r="M20" s="162">
        <v>630</v>
      </c>
      <c r="N20" s="149">
        <v>167241122</v>
      </c>
      <c r="O20" s="150">
        <v>0.6132666693643872</v>
      </c>
      <c r="P20" s="151">
        <v>0.578740035252471</v>
      </c>
      <c r="R20" s="182">
        <v>520</v>
      </c>
      <c r="S20" s="149">
        <v>170939314</v>
      </c>
      <c r="T20" s="150">
        <v>0.7070540182335279</v>
      </c>
      <c r="U20" s="151">
        <v>0.6874503596687572</v>
      </c>
      <c r="W20" s="162">
        <v>603</v>
      </c>
      <c r="X20" s="149">
        <v>129128614</v>
      </c>
      <c r="Y20" s="150">
        <v>0.7891535903720401</v>
      </c>
      <c r="Z20" s="151">
        <v>0.7333043576906382</v>
      </c>
      <c r="AB20" s="162">
        <v>3514</v>
      </c>
      <c r="AC20" s="149">
        <v>978223022</v>
      </c>
      <c r="AD20" s="150">
        <v>0.6064100064098281</v>
      </c>
      <c r="AE20" s="151">
        <v>0.5560254141509123</v>
      </c>
    </row>
    <row r="21" spans="2:31" ht="12.75">
      <c r="B21" s="134" t="s">
        <v>106</v>
      </c>
      <c r="C21" s="162">
        <v>567</v>
      </c>
      <c r="D21" s="149">
        <v>196355030</v>
      </c>
      <c r="E21" s="150">
        <v>0.4722501875216373</v>
      </c>
      <c r="F21" s="151">
        <v>0.43652797552883194</v>
      </c>
      <c r="G21" s="143"/>
      <c r="H21" s="162">
        <v>1259</v>
      </c>
      <c r="I21" s="149">
        <v>322603902</v>
      </c>
      <c r="J21" s="150">
        <v>0.5969677811035591</v>
      </c>
      <c r="K21" s="151">
        <v>0.5410984266411023</v>
      </c>
      <c r="M21" s="162">
        <v>565</v>
      </c>
      <c r="N21" s="149">
        <v>146061146</v>
      </c>
      <c r="O21" s="150">
        <v>0.6215292951617981</v>
      </c>
      <c r="P21" s="151">
        <v>0.5672130860137033</v>
      </c>
      <c r="R21" s="182">
        <v>500</v>
      </c>
      <c r="S21" s="149">
        <v>152655353</v>
      </c>
      <c r="T21" s="150">
        <v>0.6296813264665332</v>
      </c>
      <c r="U21" s="151">
        <v>0.6204338635330334</v>
      </c>
      <c r="W21" s="162">
        <v>530</v>
      </c>
      <c r="X21" s="149">
        <v>115377879</v>
      </c>
      <c r="Y21" s="150">
        <v>0.6806380336886046</v>
      </c>
      <c r="Z21" s="151">
        <v>0.6743855178966809</v>
      </c>
      <c r="AB21" s="162">
        <v>3421</v>
      </c>
      <c r="AC21" s="149">
        <v>933053310</v>
      </c>
      <c r="AD21" s="150">
        <v>0.5907026439375664</v>
      </c>
      <c r="AE21" s="151">
        <v>0.5422674589666479</v>
      </c>
    </row>
    <row r="22" spans="2:31" ht="12.75">
      <c r="B22" s="134" t="s">
        <v>107</v>
      </c>
      <c r="C22" s="162">
        <v>548</v>
      </c>
      <c r="D22" s="149">
        <v>199637684</v>
      </c>
      <c r="E22" s="150">
        <v>0.493803954333409</v>
      </c>
      <c r="F22" s="151">
        <v>0.4847954121917373</v>
      </c>
      <c r="G22" s="143"/>
      <c r="H22" s="162">
        <v>1316</v>
      </c>
      <c r="I22" s="149">
        <v>379004652</v>
      </c>
      <c r="J22" s="150">
        <v>0.63824603626174</v>
      </c>
      <c r="K22" s="151">
        <v>0.6434938966959738</v>
      </c>
      <c r="M22" s="162">
        <v>518</v>
      </c>
      <c r="N22" s="149">
        <v>141352696</v>
      </c>
      <c r="O22" s="150">
        <v>0.6618659239798408</v>
      </c>
      <c r="P22" s="151">
        <v>0.6397414813988337</v>
      </c>
      <c r="R22" s="182">
        <v>571</v>
      </c>
      <c r="S22" s="149">
        <v>162448726</v>
      </c>
      <c r="T22" s="150">
        <v>0.6891802419483714</v>
      </c>
      <c r="U22" s="151">
        <v>0.6688269368486321</v>
      </c>
      <c r="W22" s="162">
        <v>535</v>
      </c>
      <c r="X22" s="149">
        <v>109979891</v>
      </c>
      <c r="Y22" s="150">
        <v>0.7047411666161446</v>
      </c>
      <c r="Z22" s="151">
        <v>0.6949191336955663</v>
      </c>
      <c r="AB22" s="162">
        <v>3488</v>
      </c>
      <c r="AC22" s="149">
        <v>992423649</v>
      </c>
      <c r="AD22" s="150">
        <v>0.629380980168146</v>
      </c>
      <c r="AE22" s="151">
        <v>0.6115204419087292</v>
      </c>
    </row>
    <row r="23" spans="2:31" ht="12.75">
      <c r="B23" s="134" t="s">
        <v>108</v>
      </c>
      <c r="C23" s="162">
        <v>417</v>
      </c>
      <c r="D23" s="149">
        <v>137813132</v>
      </c>
      <c r="E23" s="150">
        <v>0.5223581501681978</v>
      </c>
      <c r="F23" s="151">
        <v>0.4738778168766529</v>
      </c>
      <c r="G23" s="143"/>
      <c r="H23" s="162">
        <v>1084</v>
      </c>
      <c r="I23" s="149">
        <v>278452205</v>
      </c>
      <c r="J23" s="150">
        <v>0.6852216904245864</v>
      </c>
      <c r="K23" s="151">
        <v>0.6263875153668129</v>
      </c>
      <c r="M23" s="162">
        <v>335</v>
      </c>
      <c r="N23" s="149">
        <v>78169076</v>
      </c>
      <c r="O23" s="150">
        <v>0.619345582818058</v>
      </c>
      <c r="P23" s="151">
        <v>0.5326887674860472</v>
      </c>
      <c r="R23" s="182">
        <v>559</v>
      </c>
      <c r="S23" s="149">
        <v>139379936</v>
      </c>
      <c r="T23" s="150">
        <v>0.8125961296497024</v>
      </c>
      <c r="U23" s="151">
        <v>0.7780673518314264</v>
      </c>
      <c r="W23" s="162">
        <v>452</v>
      </c>
      <c r="X23" s="149">
        <v>93894361</v>
      </c>
      <c r="Y23" s="150">
        <v>0.7861004364353094</v>
      </c>
      <c r="Z23" s="151">
        <v>0.7792715001863204</v>
      </c>
      <c r="AB23" s="162">
        <v>2847</v>
      </c>
      <c r="AC23" s="149">
        <v>727708710</v>
      </c>
      <c r="AD23" s="150">
        <v>0.6804371547968979</v>
      </c>
      <c r="AE23" s="151">
        <v>0.6158010441968162</v>
      </c>
    </row>
    <row r="24" spans="2:31" ht="12.75">
      <c r="B24" s="134" t="s">
        <v>109</v>
      </c>
      <c r="C24" s="162">
        <v>311</v>
      </c>
      <c r="D24" s="149">
        <v>99514813</v>
      </c>
      <c r="E24" s="150">
        <v>0.7306187003665258</v>
      </c>
      <c r="F24" s="151">
        <v>0.619816784430108</v>
      </c>
      <c r="G24" s="143"/>
      <c r="H24" s="162">
        <v>589</v>
      </c>
      <c r="I24" s="149">
        <v>157454349</v>
      </c>
      <c r="J24" s="150">
        <v>0.6959986329594282</v>
      </c>
      <c r="K24" s="151">
        <v>0.5976970692872354</v>
      </c>
      <c r="M24" s="162">
        <v>192</v>
      </c>
      <c r="N24" s="149">
        <v>70313325</v>
      </c>
      <c r="O24" s="150">
        <v>0.7114791039143006</v>
      </c>
      <c r="P24" s="151">
        <v>0.8744523984550829</v>
      </c>
      <c r="R24" s="182">
        <v>426</v>
      </c>
      <c r="S24" s="149">
        <v>100900077</v>
      </c>
      <c r="T24" s="150">
        <v>0.8329599678266276</v>
      </c>
      <c r="U24" s="151">
        <v>0.7917389401438584</v>
      </c>
      <c r="W24" s="162">
        <v>279</v>
      </c>
      <c r="X24" s="149">
        <v>65566242</v>
      </c>
      <c r="Y24" s="150">
        <v>0.8067159012031511</v>
      </c>
      <c r="Z24" s="151">
        <v>0.8481327284147946</v>
      </c>
      <c r="AB24" s="162">
        <v>1797</v>
      </c>
      <c r="AC24" s="149">
        <v>493748806</v>
      </c>
      <c r="AD24" s="150">
        <v>0.7490406246413601</v>
      </c>
      <c r="AE24" s="151">
        <v>0.6962580025497451</v>
      </c>
    </row>
    <row r="25" spans="2:31" ht="12.75">
      <c r="B25" s="134" t="s">
        <v>110</v>
      </c>
      <c r="C25" s="162">
        <v>154</v>
      </c>
      <c r="D25" s="149">
        <v>66467212</v>
      </c>
      <c r="E25" s="150">
        <v>0.7287258772215173</v>
      </c>
      <c r="F25" s="151">
        <v>0.6453162002877249</v>
      </c>
      <c r="G25" s="143"/>
      <c r="H25" s="162">
        <v>304</v>
      </c>
      <c r="I25" s="149">
        <v>114383845</v>
      </c>
      <c r="J25" s="150">
        <v>0.791309835387771</v>
      </c>
      <c r="K25" s="151">
        <v>0.8010660719477953</v>
      </c>
      <c r="M25" s="162">
        <v>83</v>
      </c>
      <c r="N25" s="149">
        <v>29644873</v>
      </c>
      <c r="O25" s="150">
        <v>0.6759589577266664</v>
      </c>
      <c r="P25" s="151">
        <v>0.683370706771839</v>
      </c>
      <c r="R25" s="182">
        <v>235</v>
      </c>
      <c r="S25" s="149">
        <v>62648678</v>
      </c>
      <c r="T25" s="150">
        <v>0.8096028126497433</v>
      </c>
      <c r="U25" s="151">
        <v>0.7706183982777558</v>
      </c>
      <c r="W25" s="162">
        <v>143</v>
      </c>
      <c r="X25" s="149">
        <v>33626037</v>
      </c>
      <c r="Y25" s="150">
        <v>0.9685657735406514</v>
      </c>
      <c r="Z25" s="151">
        <v>0.8263963096524998</v>
      </c>
      <c r="AB25" s="162">
        <v>919</v>
      </c>
      <c r="AC25" s="149">
        <v>306770645</v>
      </c>
      <c r="AD25" s="150">
        <v>0.7948477948638861</v>
      </c>
      <c r="AE25" s="151">
        <v>0.7461175140932486</v>
      </c>
    </row>
    <row r="26" spans="2:31" ht="12.75">
      <c r="B26" s="134" t="s">
        <v>111</v>
      </c>
      <c r="C26" s="162">
        <v>72</v>
      </c>
      <c r="D26" s="149">
        <v>45057750</v>
      </c>
      <c r="E26" s="150">
        <v>0.6400451729659881</v>
      </c>
      <c r="F26" s="151">
        <v>0.5529163656872682</v>
      </c>
      <c r="G26" s="143"/>
      <c r="H26" s="162">
        <v>131</v>
      </c>
      <c r="I26" s="149">
        <v>60993330</v>
      </c>
      <c r="J26" s="150">
        <v>0.7838535268562006</v>
      </c>
      <c r="K26" s="151">
        <v>0.5115427726938016</v>
      </c>
      <c r="M26" s="162">
        <v>37</v>
      </c>
      <c r="N26" s="149">
        <v>14123239</v>
      </c>
      <c r="O26" s="150">
        <v>0.7994612063610319</v>
      </c>
      <c r="P26" s="151">
        <v>0.8941657591273154</v>
      </c>
      <c r="R26" s="182">
        <v>125</v>
      </c>
      <c r="S26" s="149">
        <v>43054472</v>
      </c>
      <c r="T26" s="150">
        <v>0.9685025161307997</v>
      </c>
      <c r="U26" s="151">
        <v>0.8361109308322482</v>
      </c>
      <c r="W26" s="162">
        <v>63</v>
      </c>
      <c r="X26" s="149">
        <v>25726892</v>
      </c>
      <c r="Y26" s="150">
        <v>1.0267055902163762</v>
      </c>
      <c r="Z26" s="151">
        <v>1.2695081480015822</v>
      </c>
      <c r="AB26" s="162">
        <v>428</v>
      </c>
      <c r="AC26" s="149">
        <v>188955683</v>
      </c>
      <c r="AD26" s="150">
        <v>0.8289387474886609</v>
      </c>
      <c r="AE26" s="151">
        <v>0.6554611288452221</v>
      </c>
    </row>
    <row r="27" spans="2:31" ht="12.75">
      <c r="B27" s="134" t="s">
        <v>112</v>
      </c>
      <c r="C27" s="162">
        <v>22</v>
      </c>
      <c r="D27" s="149">
        <v>11571327</v>
      </c>
      <c r="E27" s="150">
        <v>0.43523289411080385</v>
      </c>
      <c r="F27" s="151">
        <v>0.21198945761006197</v>
      </c>
      <c r="G27" s="143"/>
      <c r="H27" s="162">
        <v>42</v>
      </c>
      <c r="I27" s="149">
        <v>17290264</v>
      </c>
      <c r="J27" s="150">
        <v>0.746148673676318</v>
      </c>
      <c r="K27" s="151">
        <v>0.30733906015834156</v>
      </c>
      <c r="M27" s="162">
        <v>13</v>
      </c>
      <c r="N27" s="149">
        <v>3936430</v>
      </c>
      <c r="O27" s="150">
        <v>0.5535610797166284</v>
      </c>
      <c r="P27" s="151">
        <v>0.3218409056860213</v>
      </c>
      <c r="R27" s="182">
        <v>49</v>
      </c>
      <c r="S27" s="149">
        <v>17121083</v>
      </c>
      <c r="T27" s="150">
        <v>0.8164937060832607</v>
      </c>
      <c r="U27" s="151">
        <v>0.4624108855898249</v>
      </c>
      <c r="W27" s="162">
        <v>15</v>
      </c>
      <c r="X27" s="149">
        <v>6944065</v>
      </c>
      <c r="Y27" s="150">
        <v>1.0546846984937703</v>
      </c>
      <c r="Z27" s="151">
        <v>0.8271221615098728</v>
      </c>
      <c r="AB27" s="162">
        <v>141</v>
      </c>
      <c r="AC27" s="149">
        <v>56863169</v>
      </c>
      <c r="AD27" s="150">
        <v>0.6892978635970465</v>
      </c>
      <c r="AE27" s="151">
        <v>0.33747786116946393</v>
      </c>
    </row>
    <row r="28" spans="2:31" ht="12.75">
      <c r="B28" s="134" t="s">
        <v>113</v>
      </c>
      <c r="C28" s="162">
        <v>5</v>
      </c>
      <c r="D28" s="149">
        <v>4817081</v>
      </c>
      <c r="E28" s="150">
        <v>0.2707340303471189</v>
      </c>
      <c r="F28" s="151">
        <v>0.2994963713310219</v>
      </c>
      <c r="G28" s="143"/>
      <c r="H28" s="162">
        <v>6</v>
      </c>
      <c r="I28" s="149">
        <v>14499915</v>
      </c>
      <c r="J28" s="150">
        <v>0.7200408983230252</v>
      </c>
      <c r="K28" s="151">
        <v>0.9786481191854167</v>
      </c>
      <c r="M28" s="162">
        <v>2</v>
      </c>
      <c r="N28" s="149">
        <v>1250000</v>
      </c>
      <c r="O28" s="150">
        <v>0.7139848206827123</v>
      </c>
      <c r="P28" s="151">
        <v>0.8957180643585324</v>
      </c>
      <c r="R28" s="182">
        <v>7</v>
      </c>
      <c r="S28" s="149">
        <v>2175000</v>
      </c>
      <c r="T28" s="150">
        <v>0.47903732658848763</v>
      </c>
      <c r="U28" s="151">
        <v>0.33955760873084906</v>
      </c>
      <c r="W28" s="162">
        <v>4</v>
      </c>
      <c r="X28" s="149">
        <v>12200000</v>
      </c>
      <c r="Y28" s="150">
        <v>0.83896664478362</v>
      </c>
      <c r="Z28" s="151">
        <v>1.8527803851105933</v>
      </c>
      <c r="AB28" s="162">
        <v>24</v>
      </c>
      <c r="AC28" s="149">
        <v>34941996</v>
      </c>
      <c r="AD28" s="150">
        <v>0.48996830721666157</v>
      </c>
      <c r="AE28" s="151">
        <v>0.7715878795625895</v>
      </c>
    </row>
    <row r="29" spans="2:31" ht="12.75">
      <c r="B29" s="135" t="s">
        <v>114</v>
      </c>
      <c r="C29" s="163"/>
      <c r="D29" s="152"/>
      <c r="E29" s="153"/>
      <c r="F29" s="154"/>
      <c r="G29" s="143"/>
      <c r="H29" s="163">
        <v>0</v>
      </c>
      <c r="I29" s="152">
        <v>0</v>
      </c>
      <c r="J29" s="153">
        <v>0</v>
      </c>
      <c r="K29" s="154">
        <v>0</v>
      </c>
      <c r="M29" s="163"/>
      <c r="N29" s="152"/>
      <c r="O29" s="153"/>
      <c r="P29" s="154"/>
      <c r="R29" s="183">
        <v>2</v>
      </c>
      <c r="S29" s="152">
        <v>477944</v>
      </c>
      <c r="T29" s="153">
        <v>2.84119159575526</v>
      </c>
      <c r="U29" s="154">
        <v>2.8056216137381798</v>
      </c>
      <c r="W29" s="163">
        <v>0</v>
      </c>
      <c r="X29" s="152">
        <v>0</v>
      </c>
      <c r="Y29" s="153">
        <v>0</v>
      </c>
      <c r="Z29" s="154">
        <v>0</v>
      </c>
      <c r="AB29" s="163">
        <v>2</v>
      </c>
      <c r="AC29" s="152">
        <v>477944</v>
      </c>
      <c r="AD29" s="153">
        <v>0.7285310991712959</v>
      </c>
      <c r="AE29" s="154">
        <v>0.09926773644170442</v>
      </c>
    </row>
    <row r="30" spans="5:31" ht="12.75">
      <c r="E30" s="145"/>
      <c r="F30" s="145"/>
      <c r="J30" s="145"/>
      <c r="K30" s="145"/>
      <c r="O30" s="145"/>
      <c r="P30" s="145"/>
      <c r="T30" s="145"/>
      <c r="U30" s="145"/>
      <c r="Y30" s="145"/>
      <c r="Z30" s="145"/>
      <c r="AC30" s="128"/>
      <c r="AD30" s="145"/>
      <c r="AE30" s="145"/>
    </row>
    <row r="31" spans="1:31" ht="12.75">
      <c r="A31" s="139" t="s">
        <v>28</v>
      </c>
      <c r="B31" s="133" t="s">
        <v>115</v>
      </c>
      <c r="C31" s="161">
        <v>89</v>
      </c>
      <c r="D31" s="146">
        <v>57786834</v>
      </c>
      <c r="E31" s="147">
        <v>0.5439563485420484</v>
      </c>
      <c r="F31" s="148">
        <v>0.4479656100083307</v>
      </c>
      <c r="G31" s="143"/>
      <c r="H31" s="161">
        <v>123</v>
      </c>
      <c r="I31" s="146">
        <v>65762594</v>
      </c>
      <c r="J31" s="147">
        <v>0.5934536275094155</v>
      </c>
      <c r="K31" s="148">
        <v>0.3650980462107425</v>
      </c>
      <c r="M31" s="161">
        <v>137</v>
      </c>
      <c r="N31" s="146">
        <v>45862022</v>
      </c>
      <c r="O31" s="147">
        <v>0.7589890620258005</v>
      </c>
      <c r="P31" s="148">
        <v>0.6063599221936881</v>
      </c>
      <c r="R31" s="161">
        <v>133</v>
      </c>
      <c r="S31" s="146">
        <v>49309906</v>
      </c>
      <c r="T31" s="147">
        <v>0.7078699490684854</v>
      </c>
      <c r="U31" s="148">
        <v>0.5315989819704667</v>
      </c>
      <c r="W31" s="161">
        <v>62</v>
      </c>
      <c r="X31" s="146">
        <v>17866841</v>
      </c>
      <c r="Y31" s="147">
        <v>1.0712726321462303</v>
      </c>
      <c r="Z31" s="148">
        <v>0.6763767837974718</v>
      </c>
      <c r="AB31" s="161">
        <v>544</v>
      </c>
      <c r="AC31" s="146">
        <v>236588197</v>
      </c>
      <c r="AD31" s="147">
        <v>0.68243681980475</v>
      </c>
      <c r="AE31" s="148">
        <v>0.4694865233789409</v>
      </c>
    </row>
    <row r="32" spans="2:31" ht="12.75">
      <c r="B32" s="134" t="s">
        <v>116</v>
      </c>
      <c r="C32" s="162">
        <v>131</v>
      </c>
      <c r="D32" s="149">
        <v>85218861</v>
      </c>
      <c r="E32" s="150">
        <v>0.5688593618552988</v>
      </c>
      <c r="F32" s="151">
        <v>0.527896192461494</v>
      </c>
      <c r="G32" s="143"/>
      <c r="H32" s="162">
        <v>173</v>
      </c>
      <c r="I32" s="149">
        <v>89837000</v>
      </c>
      <c r="J32" s="150">
        <v>0.6503715388391994</v>
      </c>
      <c r="K32" s="151">
        <v>0.46091886292629863</v>
      </c>
      <c r="M32" s="162">
        <v>169</v>
      </c>
      <c r="N32" s="149">
        <v>59251059</v>
      </c>
      <c r="O32" s="150">
        <v>0.6221983356967581</v>
      </c>
      <c r="P32" s="151">
        <v>0.5203798250557656</v>
      </c>
      <c r="R32" s="162">
        <v>237</v>
      </c>
      <c r="S32" s="149">
        <v>86981537</v>
      </c>
      <c r="T32" s="150">
        <v>0.8428168304048578</v>
      </c>
      <c r="U32" s="151">
        <v>0.6714087563489238</v>
      </c>
      <c r="W32" s="162">
        <v>91</v>
      </c>
      <c r="X32" s="149">
        <v>40558183</v>
      </c>
      <c r="Y32" s="150">
        <v>1.155042643285891</v>
      </c>
      <c r="Z32" s="151">
        <v>1.109947445780367</v>
      </c>
      <c r="AB32" s="162">
        <v>801</v>
      </c>
      <c r="AC32" s="149">
        <v>361846640</v>
      </c>
      <c r="AD32" s="150">
        <v>0.7101758769620984</v>
      </c>
      <c r="AE32" s="151">
        <v>0.5686799956498806</v>
      </c>
    </row>
    <row r="33" spans="2:31" ht="12.75">
      <c r="B33" s="134" t="s">
        <v>117</v>
      </c>
      <c r="C33" s="162">
        <v>183</v>
      </c>
      <c r="D33" s="149">
        <v>101821643</v>
      </c>
      <c r="E33" s="150">
        <v>0.6236281458717288</v>
      </c>
      <c r="F33" s="151">
        <v>0.5651320584057358</v>
      </c>
      <c r="G33" s="143"/>
      <c r="H33" s="162">
        <v>237</v>
      </c>
      <c r="I33" s="149">
        <v>125969093</v>
      </c>
      <c r="J33" s="150">
        <v>0.7152466842053894</v>
      </c>
      <c r="K33" s="151">
        <v>0.608767501790842</v>
      </c>
      <c r="M33" s="162">
        <v>276</v>
      </c>
      <c r="N33" s="149">
        <v>126789372</v>
      </c>
      <c r="O33" s="150">
        <v>0.7619852620454759</v>
      </c>
      <c r="P33" s="151">
        <v>0.8335952717256878</v>
      </c>
      <c r="R33" s="162">
        <v>349</v>
      </c>
      <c r="S33" s="149">
        <v>127993795</v>
      </c>
      <c r="T33" s="150">
        <v>0.9240213025830177</v>
      </c>
      <c r="U33" s="151">
        <v>0.7978738186716557</v>
      </c>
      <c r="W33" s="162">
        <v>94</v>
      </c>
      <c r="X33" s="149">
        <v>44041832</v>
      </c>
      <c r="Y33" s="150">
        <v>0.9568799362025775</v>
      </c>
      <c r="Z33" s="151">
        <v>1.0440098780392908</v>
      </c>
      <c r="AB33" s="162">
        <v>1139</v>
      </c>
      <c r="AC33" s="149">
        <v>526615735</v>
      </c>
      <c r="AD33" s="150">
        <v>0.7785676392427903</v>
      </c>
      <c r="AE33" s="151">
        <v>0.7099148391733244</v>
      </c>
    </row>
    <row r="34" spans="2:31" ht="12.75">
      <c r="B34" s="134" t="s">
        <v>118</v>
      </c>
      <c r="C34" s="162">
        <v>378</v>
      </c>
      <c r="D34" s="149">
        <v>195574849</v>
      </c>
      <c r="E34" s="150">
        <v>0.5573919342378902</v>
      </c>
      <c r="F34" s="151">
        <v>0.5032363916741309</v>
      </c>
      <c r="G34" s="143"/>
      <c r="H34" s="162">
        <v>517</v>
      </c>
      <c r="I34" s="149">
        <v>211139739</v>
      </c>
      <c r="J34" s="150">
        <v>0.692802491001493</v>
      </c>
      <c r="K34" s="151">
        <v>0.5979205469882427</v>
      </c>
      <c r="M34" s="162">
        <v>631</v>
      </c>
      <c r="N34" s="149">
        <v>214769518</v>
      </c>
      <c r="O34" s="150">
        <v>0.7270578256972676</v>
      </c>
      <c r="P34" s="151">
        <v>0.6542560252130426</v>
      </c>
      <c r="R34" s="162">
        <v>662</v>
      </c>
      <c r="S34" s="149">
        <v>208790948</v>
      </c>
      <c r="T34" s="150">
        <v>0.7962668125061709</v>
      </c>
      <c r="U34" s="151">
        <v>0.7338644645109221</v>
      </c>
      <c r="W34" s="162">
        <v>218</v>
      </c>
      <c r="X34" s="149">
        <v>84100208</v>
      </c>
      <c r="Y34" s="150">
        <v>0.8925520827682409</v>
      </c>
      <c r="Z34" s="151">
        <v>0.8865372589336752</v>
      </c>
      <c r="AB34" s="162">
        <v>2406</v>
      </c>
      <c r="AC34" s="149">
        <v>914375262</v>
      </c>
      <c r="AD34" s="150">
        <v>0.7143902068967452</v>
      </c>
      <c r="AE34" s="151">
        <v>0.6308666874066258</v>
      </c>
    </row>
    <row r="35" spans="2:31" ht="12.75">
      <c r="B35" s="134" t="s">
        <v>119</v>
      </c>
      <c r="C35" s="162">
        <v>845</v>
      </c>
      <c r="D35" s="149">
        <v>360471247</v>
      </c>
      <c r="E35" s="150">
        <v>0.4761661405988773</v>
      </c>
      <c r="F35" s="151">
        <v>0.45849290559163647</v>
      </c>
      <c r="G35" s="143"/>
      <c r="H35" s="162">
        <v>1608</v>
      </c>
      <c r="I35" s="149">
        <v>516155807</v>
      </c>
      <c r="J35" s="150">
        <v>0.6238850261839657</v>
      </c>
      <c r="K35" s="151">
        <v>0.5659589577727341</v>
      </c>
      <c r="M35" s="162">
        <v>1232</v>
      </c>
      <c r="N35" s="149">
        <v>307147803</v>
      </c>
      <c r="O35" s="150">
        <v>0.6170304501071266</v>
      </c>
      <c r="P35" s="151">
        <v>0.5539913552068207</v>
      </c>
      <c r="R35" s="162">
        <v>1554</v>
      </c>
      <c r="S35" s="149">
        <v>468657062</v>
      </c>
      <c r="T35" s="150">
        <v>0.6845316958547997</v>
      </c>
      <c r="U35" s="151">
        <v>0.6460509260839531</v>
      </c>
      <c r="W35" s="162">
        <v>642</v>
      </c>
      <c r="X35" s="149">
        <v>185234882</v>
      </c>
      <c r="Y35" s="150">
        <v>0.7448548541836971</v>
      </c>
      <c r="Z35" s="151">
        <v>0.7464292313269086</v>
      </c>
      <c r="AB35" s="162">
        <v>5881</v>
      </c>
      <c r="AC35" s="149">
        <v>1837666801</v>
      </c>
      <c r="AD35" s="150">
        <v>0.6203111011110154</v>
      </c>
      <c r="AE35" s="151">
        <v>0.569604084593883</v>
      </c>
    </row>
    <row r="36" spans="2:31" ht="12.75">
      <c r="B36" s="134" t="s">
        <v>34</v>
      </c>
      <c r="C36" s="162">
        <v>885</v>
      </c>
      <c r="D36" s="149">
        <v>261773902</v>
      </c>
      <c r="E36" s="150">
        <v>0.46829986907446747</v>
      </c>
      <c r="F36" s="151">
        <v>0.4362764059402354</v>
      </c>
      <c r="G36" s="143"/>
      <c r="H36" s="162">
        <v>2008</v>
      </c>
      <c r="I36" s="149">
        <v>479277833</v>
      </c>
      <c r="J36" s="150">
        <v>0.6015700793326758</v>
      </c>
      <c r="K36" s="151">
        <v>0.5863364647100024</v>
      </c>
      <c r="M36" s="162">
        <v>810</v>
      </c>
      <c r="N36" s="149">
        <v>157089013</v>
      </c>
      <c r="O36" s="150">
        <v>0.6389492279584352</v>
      </c>
      <c r="P36" s="151">
        <v>0.609065387571424</v>
      </c>
      <c r="R36" s="162">
        <v>724</v>
      </c>
      <c r="S36" s="149">
        <v>192330112</v>
      </c>
      <c r="T36" s="150">
        <v>0.631171086777835</v>
      </c>
      <c r="U36" s="151">
        <v>0.7073617076504221</v>
      </c>
      <c r="W36" s="162">
        <v>768</v>
      </c>
      <c r="X36" s="149">
        <v>171698871</v>
      </c>
      <c r="Y36" s="150">
        <v>0.7238818685491007</v>
      </c>
      <c r="Z36" s="151">
        <v>0.7246726273735996</v>
      </c>
      <c r="AB36" s="162">
        <v>5195</v>
      </c>
      <c r="AC36" s="149">
        <v>1262169731</v>
      </c>
      <c r="AD36" s="150">
        <v>0.5968881096506202</v>
      </c>
      <c r="AE36" s="151">
        <v>0.5778693446700812</v>
      </c>
    </row>
    <row r="37" spans="2:31" ht="12.75">
      <c r="B37" s="134" t="s">
        <v>35</v>
      </c>
      <c r="C37" s="162">
        <v>1148</v>
      </c>
      <c r="D37" s="149">
        <v>296617383</v>
      </c>
      <c r="E37" s="150">
        <v>0.5180877732300924</v>
      </c>
      <c r="F37" s="151">
        <v>0.5243428409402914</v>
      </c>
      <c r="G37" s="143"/>
      <c r="H37" s="162">
        <v>2892</v>
      </c>
      <c r="I37" s="149">
        <v>620749834</v>
      </c>
      <c r="J37" s="150">
        <v>0.6276656937052618</v>
      </c>
      <c r="K37" s="151">
        <v>0.6023335582808923</v>
      </c>
      <c r="M37" s="162">
        <v>791</v>
      </c>
      <c r="N37" s="149">
        <v>157652594</v>
      </c>
      <c r="O37" s="150">
        <v>0.6018567073985353</v>
      </c>
      <c r="P37" s="151">
        <v>0.6236351489394738</v>
      </c>
      <c r="R37" s="162">
        <v>344</v>
      </c>
      <c r="S37" s="149">
        <v>76682309</v>
      </c>
      <c r="T37" s="150">
        <v>0.7707998260412326</v>
      </c>
      <c r="U37" s="151">
        <v>0.9514914179248066</v>
      </c>
      <c r="W37" s="162">
        <v>1490</v>
      </c>
      <c r="X37" s="149">
        <v>267098242</v>
      </c>
      <c r="Y37" s="150">
        <v>0.7358962168627494</v>
      </c>
      <c r="Z37" s="151">
        <v>0.7114970619354681</v>
      </c>
      <c r="AB37" s="162">
        <v>6665</v>
      </c>
      <c r="AC37" s="149">
        <v>1418800362</v>
      </c>
      <c r="AD37" s="150">
        <v>0.6282587049671648</v>
      </c>
      <c r="AE37" s="151">
        <v>0.6155157172015702</v>
      </c>
    </row>
    <row r="38" spans="2:31" ht="12.75">
      <c r="B38" s="135" t="s">
        <v>36</v>
      </c>
      <c r="C38" s="163">
        <v>731</v>
      </c>
      <c r="D38" s="152">
        <v>189321396</v>
      </c>
      <c r="E38" s="153">
        <v>0.5262208507302352</v>
      </c>
      <c r="F38" s="154">
        <v>0.4608052023101929</v>
      </c>
      <c r="G38" s="143"/>
      <c r="H38" s="163">
        <v>1774</v>
      </c>
      <c r="I38" s="152">
        <v>310219154</v>
      </c>
      <c r="J38" s="153">
        <v>0.6701497403507801</v>
      </c>
      <c r="K38" s="154">
        <v>0.6539432430371963</v>
      </c>
      <c r="M38" s="163">
        <v>509</v>
      </c>
      <c r="N38" s="152">
        <v>105493991</v>
      </c>
      <c r="O38" s="153">
        <v>0.6612948134258005</v>
      </c>
      <c r="P38" s="154">
        <v>0.7166397321691849</v>
      </c>
      <c r="R38" s="163">
        <v>140</v>
      </c>
      <c r="S38" s="152">
        <v>21329326</v>
      </c>
      <c r="T38" s="153">
        <v>0.7512919000859043</v>
      </c>
      <c r="U38" s="154">
        <v>0.7075675108323487</v>
      </c>
      <c r="W38" s="163">
        <v>563</v>
      </c>
      <c r="X38" s="152">
        <v>89611748</v>
      </c>
      <c r="Y38" s="153">
        <v>0.7441920666931439</v>
      </c>
      <c r="Z38" s="154">
        <v>0.7402798892029584</v>
      </c>
      <c r="AB38" s="163">
        <v>3717</v>
      </c>
      <c r="AC38" s="152">
        <v>715975615</v>
      </c>
      <c r="AD38" s="153">
        <v>0.6465592536984138</v>
      </c>
      <c r="AE38" s="154">
        <v>0.6048962887509906</v>
      </c>
    </row>
    <row r="39" spans="5:31" ht="12.75">
      <c r="E39" s="145"/>
      <c r="F39" s="145"/>
      <c r="J39" s="145"/>
      <c r="K39" s="145"/>
      <c r="O39" s="145"/>
      <c r="P39" s="145"/>
      <c r="T39" s="145"/>
      <c r="U39" s="145"/>
      <c r="Y39" s="145"/>
      <c r="Z39" s="145"/>
      <c r="AC39" s="128"/>
      <c r="AD39" s="145"/>
      <c r="AE39" s="145"/>
    </row>
    <row r="40" spans="1:31" ht="12.75">
      <c r="A40" s="139" t="s">
        <v>218</v>
      </c>
      <c r="B40" s="136" t="s">
        <v>163</v>
      </c>
      <c r="C40" s="164">
        <v>2563</v>
      </c>
      <c r="D40" s="174">
        <v>338820203</v>
      </c>
      <c r="E40" s="147">
        <v>0.522355809619708</v>
      </c>
      <c r="F40" s="148">
        <v>0.5168582465499327</v>
      </c>
      <c r="G40" s="143"/>
      <c r="H40" s="161">
        <v>6719</v>
      </c>
      <c r="I40" s="146">
        <v>827871481</v>
      </c>
      <c r="J40" s="147">
        <v>0.6576456753269979</v>
      </c>
      <c r="K40" s="148">
        <v>0.6490280234800831</v>
      </c>
      <c r="M40" s="161">
        <v>3087</v>
      </c>
      <c r="N40" s="146">
        <v>388209547</v>
      </c>
      <c r="O40" s="147">
        <v>0.6676335234281471</v>
      </c>
      <c r="P40" s="148">
        <v>0.6634339198737443</v>
      </c>
      <c r="R40" s="161">
        <v>2559</v>
      </c>
      <c r="S40" s="146">
        <v>329418687</v>
      </c>
      <c r="T40" s="147">
        <v>0.7574106774399971</v>
      </c>
      <c r="U40" s="148">
        <v>0.7508479231816789</v>
      </c>
      <c r="W40" s="161">
        <v>2813</v>
      </c>
      <c r="X40" s="146">
        <v>337377567</v>
      </c>
      <c r="Y40" s="147">
        <v>0.7670490580281661</v>
      </c>
      <c r="Z40" s="148">
        <v>0.7629956246201659</v>
      </c>
      <c r="AB40" s="161">
        <v>17741</v>
      </c>
      <c r="AC40" s="146">
        <v>2221697485</v>
      </c>
      <c r="AD40" s="147">
        <v>0.6621486666831512</v>
      </c>
      <c r="AE40" s="148">
        <v>0.6539887363758178</v>
      </c>
    </row>
    <row r="41" spans="1:31" ht="12.75">
      <c r="A41" s="139" t="s">
        <v>219</v>
      </c>
      <c r="B41" s="137" t="s">
        <v>164</v>
      </c>
      <c r="C41" s="165">
        <v>970</v>
      </c>
      <c r="D41" s="175">
        <v>297479668</v>
      </c>
      <c r="E41" s="150">
        <v>0.5112357765115392</v>
      </c>
      <c r="F41" s="151">
        <v>0.5107070265218792</v>
      </c>
      <c r="G41" s="143"/>
      <c r="H41" s="162">
        <v>1465</v>
      </c>
      <c r="I41" s="149">
        <v>428574099</v>
      </c>
      <c r="J41" s="150">
        <v>0.5846205433966645</v>
      </c>
      <c r="K41" s="151">
        <v>0.5859303823725207</v>
      </c>
      <c r="M41" s="162">
        <v>850</v>
      </c>
      <c r="N41" s="149">
        <v>248043448</v>
      </c>
      <c r="O41" s="150">
        <v>0.6076960385060142</v>
      </c>
      <c r="P41" s="151">
        <v>0.6070485128753229</v>
      </c>
      <c r="R41" s="162">
        <v>879</v>
      </c>
      <c r="S41" s="149">
        <v>258613258</v>
      </c>
      <c r="T41" s="150">
        <v>0.6832489927615496</v>
      </c>
      <c r="U41" s="151">
        <v>0.6763319898003571</v>
      </c>
      <c r="W41" s="162">
        <v>658</v>
      </c>
      <c r="X41" s="149">
        <v>185676802</v>
      </c>
      <c r="Y41" s="150">
        <v>0.6729745863318242</v>
      </c>
      <c r="Z41" s="151">
        <v>0.6700053294850657</v>
      </c>
      <c r="AB41" s="162">
        <v>4822</v>
      </c>
      <c r="AC41" s="149">
        <v>1418387275</v>
      </c>
      <c r="AD41" s="150">
        <v>0.5978004558294733</v>
      </c>
      <c r="AE41" s="151">
        <v>0.5954513631621885</v>
      </c>
    </row>
    <row r="42" spans="2:31" ht="12.75">
      <c r="B42" s="137" t="s">
        <v>165</v>
      </c>
      <c r="C42" s="165">
        <v>511</v>
      </c>
      <c r="D42" s="175">
        <v>294324338</v>
      </c>
      <c r="E42" s="150">
        <v>0.46434258749027507</v>
      </c>
      <c r="F42" s="151">
        <v>0.4551979055254836</v>
      </c>
      <c r="G42" s="143"/>
      <c r="H42" s="162">
        <v>677</v>
      </c>
      <c r="I42" s="149">
        <v>380067617</v>
      </c>
      <c r="J42" s="150">
        <v>0.5676108060554624</v>
      </c>
      <c r="K42" s="151">
        <v>0.5603811085719498</v>
      </c>
      <c r="M42" s="162">
        <v>419</v>
      </c>
      <c r="N42" s="149">
        <v>235073211</v>
      </c>
      <c r="O42" s="150">
        <v>0.6301262518852704</v>
      </c>
      <c r="P42" s="151">
        <v>0.6283150145050486</v>
      </c>
      <c r="R42" s="162">
        <v>446</v>
      </c>
      <c r="S42" s="149">
        <v>247395071</v>
      </c>
      <c r="T42" s="150">
        <v>0.6357380939226276</v>
      </c>
      <c r="U42" s="151">
        <v>0.6339261323469021</v>
      </c>
      <c r="W42" s="162">
        <v>315</v>
      </c>
      <c r="X42" s="149">
        <v>175905970</v>
      </c>
      <c r="Y42" s="150">
        <v>0.8686955386499672</v>
      </c>
      <c r="Z42" s="151">
        <v>0.8823850576917923</v>
      </c>
      <c r="AB42" s="162">
        <v>2368</v>
      </c>
      <c r="AC42" s="149">
        <v>1332766207</v>
      </c>
      <c r="AD42" s="150">
        <v>0.5887171995671153</v>
      </c>
      <c r="AE42" s="151">
        <v>0.5823601441534557</v>
      </c>
    </row>
    <row r="43" spans="2:31" ht="12.75">
      <c r="B43" s="137" t="s">
        <v>45</v>
      </c>
      <c r="C43" s="165">
        <v>283</v>
      </c>
      <c r="D43" s="175">
        <v>356389466</v>
      </c>
      <c r="E43" s="150">
        <v>0.4590546750338929</v>
      </c>
      <c r="F43" s="151">
        <v>0.4548859556760539</v>
      </c>
      <c r="G43" s="143"/>
      <c r="H43" s="162">
        <v>407</v>
      </c>
      <c r="I43" s="149">
        <v>499194276</v>
      </c>
      <c r="J43" s="150">
        <v>0.597621370035675</v>
      </c>
      <c r="K43" s="151">
        <v>0.5923174368377131</v>
      </c>
      <c r="M43" s="162">
        <v>175</v>
      </c>
      <c r="N43" s="149">
        <v>210183026</v>
      </c>
      <c r="O43" s="150">
        <v>0.5654250406653631</v>
      </c>
      <c r="P43" s="151">
        <v>0.5586284484054902</v>
      </c>
      <c r="R43" s="162">
        <v>232</v>
      </c>
      <c r="S43" s="149">
        <v>286267979</v>
      </c>
      <c r="T43" s="150">
        <v>0.721609742129641</v>
      </c>
      <c r="U43" s="151">
        <v>0.7387834571066875</v>
      </c>
      <c r="W43" s="162">
        <v>135</v>
      </c>
      <c r="X43" s="149">
        <v>156955133</v>
      </c>
      <c r="Y43" s="150">
        <v>0.8454110742463163</v>
      </c>
      <c r="Z43" s="151">
        <v>0.833184418053613</v>
      </c>
      <c r="AB43" s="162">
        <v>1232</v>
      </c>
      <c r="AC43" s="149">
        <v>1508989880</v>
      </c>
      <c r="AD43" s="150">
        <v>0.5899794744608069</v>
      </c>
      <c r="AE43" s="151">
        <v>0.5852505952325546</v>
      </c>
    </row>
    <row r="44" spans="2:31" ht="12.75">
      <c r="B44" s="137" t="s">
        <v>46</v>
      </c>
      <c r="C44" s="165">
        <v>43</v>
      </c>
      <c r="D44" s="175">
        <v>136240299</v>
      </c>
      <c r="E44" s="150">
        <v>0.5850762027738049</v>
      </c>
      <c r="F44" s="151">
        <v>0.5669068153965866</v>
      </c>
      <c r="G44" s="143"/>
      <c r="H44" s="162">
        <v>41</v>
      </c>
      <c r="I44" s="149">
        <v>132825936</v>
      </c>
      <c r="J44" s="150">
        <v>0.5492190707615195</v>
      </c>
      <c r="K44" s="151">
        <v>0.5587330022131777</v>
      </c>
      <c r="M44" s="162">
        <v>19</v>
      </c>
      <c r="N44" s="149">
        <v>61546140</v>
      </c>
      <c r="O44" s="150">
        <v>0.7695504286395924</v>
      </c>
      <c r="P44" s="151">
        <v>0.78771831743833</v>
      </c>
      <c r="R44" s="162">
        <v>18</v>
      </c>
      <c r="S44" s="149">
        <v>56380000</v>
      </c>
      <c r="T44" s="150">
        <v>0.7146160824349339</v>
      </c>
      <c r="U44" s="151">
        <v>0.7140796555737181</v>
      </c>
      <c r="W44" s="162">
        <v>3</v>
      </c>
      <c r="X44" s="149">
        <v>9295335</v>
      </c>
      <c r="Y44" s="150">
        <v>0.28489081559492296</v>
      </c>
      <c r="Z44" s="151">
        <v>0.2848534862126072</v>
      </c>
      <c r="AB44" s="162">
        <v>124</v>
      </c>
      <c r="AC44" s="149">
        <v>396287710</v>
      </c>
      <c r="AD44" s="150">
        <v>0.5945685491745667</v>
      </c>
      <c r="AE44" s="151">
        <v>0.59345103292457</v>
      </c>
    </row>
    <row r="45" spans="1:31" ht="12.75">
      <c r="A45" s="113"/>
      <c r="B45" s="138" t="s">
        <v>47</v>
      </c>
      <c r="C45" s="166">
        <v>20</v>
      </c>
      <c r="D45" s="176">
        <v>125332141</v>
      </c>
      <c r="E45" s="153">
        <v>0.4943079207159768</v>
      </c>
      <c r="F45" s="154">
        <v>0.39964911103582273</v>
      </c>
      <c r="G45" s="143"/>
      <c r="H45" s="163">
        <v>23</v>
      </c>
      <c r="I45" s="152">
        <v>150577645</v>
      </c>
      <c r="J45" s="153">
        <v>0.46129577984558634</v>
      </c>
      <c r="K45" s="154">
        <v>0.3729818780694225</v>
      </c>
      <c r="M45" s="163">
        <v>5</v>
      </c>
      <c r="N45" s="152">
        <v>31000000</v>
      </c>
      <c r="O45" s="153">
        <v>0.5623379763705606</v>
      </c>
      <c r="P45" s="154">
        <v>0.5172008247604876</v>
      </c>
      <c r="R45" s="163">
        <v>9</v>
      </c>
      <c r="S45" s="152">
        <v>54000000</v>
      </c>
      <c r="T45" s="153">
        <v>0.6129270398892915</v>
      </c>
      <c r="U45" s="154">
        <v>0.5539360439508578</v>
      </c>
      <c r="W45" s="163">
        <v>4</v>
      </c>
      <c r="X45" s="152">
        <v>35000000</v>
      </c>
      <c r="Y45" s="153">
        <v>0.7424593967517402</v>
      </c>
      <c r="Z45" s="154">
        <v>0.8355848059835163</v>
      </c>
      <c r="AB45" s="163">
        <v>61</v>
      </c>
      <c r="AC45" s="152">
        <v>395909786</v>
      </c>
      <c r="AD45" s="153">
        <v>0.5113899537024412</v>
      </c>
      <c r="AE45" s="154">
        <v>0.4319200257976652</v>
      </c>
    </row>
    <row r="46" spans="1:31" ht="12.75">
      <c r="A46" s="113"/>
      <c r="E46" s="145"/>
      <c r="F46" s="145"/>
      <c r="J46" s="145"/>
      <c r="K46" s="145"/>
      <c r="O46" s="145"/>
      <c r="P46" s="145"/>
      <c r="T46" s="145"/>
      <c r="U46" s="145"/>
      <c r="Y46" s="145"/>
      <c r="Z46" s="145"/>
      <c r="AC46" s="128"/>
      <c r="AD46" s="145"/>
      <c r="AE46" s="145"/>
    </row>
    <row r="47" spans="1:31" ht="12.75">
      <c r="A47" s="139" t="s">
        <v>224</v>
      </c>
      <c r="B47" s="133" t="s">
        <v>220</v>
      </c>
      <c r="C47" s="161">
        <v>2098</v>
      </c>
      <c r="D47" s="146">
        <v>704594808</v>
      </c>
      <c r="E47" s="147">
        <v>0.501687019449052</v>
      </c>
      <c r="F47" s="148">
        <v>0.46335311473323576</v>
      </c>
      <c r="G47" s="143"/>
      <c r="H47" s="161">
        <v>4553</v>
      </c>
      <c r="I47" s="146">
        <v>1141777799</v>
      </c>
      <c r="J47" s="147">
        <v>0.6400770326031435</v>
      </c>
      <c r="K47" s="148">
        <v>0.5840551890977551</v>
      </c>
      <c r="M47" s="161">
        <v>2247</v>
      </c>
      <c r="N47" s="146">
        <v>557907680</v>
      </c>
      <c r="O47" s="147">
        <v>0.6714729166030812</v>
      </c>
      <c r="P47" s="148">
        <v>0.6341331805460109</v>
      </c>
      <c r="R47" s="161">
        <v>1967</v>
      </c>
      <c r="S47" s="146">
        <v>572012162</v>
      </c>
      <c r="T47" s="147">
        <v>0.7335024120408064</v>
      </c>
      <c r="U47" s="148">
        <v>0.6992145164677099</v>
      </c>
      <c r="W47" s="161">
        <v>2545</v>
      </c>
      <c r="X47" s="146">
        <v>612428633</v>
      </c>
      <c r="Y47" s="147">
        <v>0.7588683570188371</v>
      </c>
      <c r="Z47" s="148">
        <v>0.7636729644421218</v>
      </c>
      <c r="AB47" s="161">
        <v>13410</v>
      </c>
      <c r="AC47" s="146">
        <v>3588721082</v>
      </c>
      <c r="AD47" s="147">
        <v>0.6485528581092322</v>
      </c>
      <c r="AE47" s="148">
        <v>0.600584284436161</v>
      </c>
    </row>
    <row r="48" spans="1:31" ht="12.75">
      <c r="A48" s="139" t="s">
        <v>225</v>
      </c>
      <c r="B48" s="135" t="s">
        <v>221</v>
      </c>
      <c r="C48" s="163">
        <v>2292</v>
      </c>
      <c r="D48" s="152">
        <v>843991307</v>
      </c>
      <c r="E48" s="153">
        <v>0.514707965378606</v>
      </c>
      <c r="F48" s="154">
        <v>0.49606755575812456</v>
      </c>
      <c r="G48" s="143"/>
      <c r="H48" s="163">
        <v>4779</v>
      </c>
      <c r="I48" s="152">
        <v>1277333255</v>
      </c>
      <c r="J48" s="153">
        <v>0.6281790746026422</v>
      </c>
      <c r="K48" s="154">
        <v>0.5767949968846283</v>
      </c>
      <c r="M48" s="163">
        <v>2308</v>
      </c>
      <c r="N48" s="152">
        <v>616147692</v>
      </c>
      <c r="O48" s="153">
        <v>0.6264633503929717</v>
      </c>
      <c r="P48" s="154">
        <v>0.614664537412851</v>
      </c>
      <c r="R48" s="163">
        <v>2176</v>
      </c>
      <c r="S48" s="152">
        <v>660062833</v>
      </c>
      <c r="T48" s="153">
        <v>0.7142894189117426</v>
      </c>
      <c r="U48" s="154">
        <v>0.6895695106273151</v>
      </c>
      <c r="W48" s="163">
        <v>1383</v>
      </c>
      <c r="X48" s="152">
        <v>287782174</v>
      </c>
      <c r="Y48" s="153">
        <v>0.755907788301042</v>
      </c>
      <c r="Z48" s="154">
        <v>0.7581148088778626</v>
      </c>
      <c r="AB48" s="163">
        <v>12938</v>
      </c>
      <c r="AC48" s="152">
        <v>3685317261</v>
      </c>
      <c r="AD48" s="153">
        <v>0.6274229020672774</v>
      </c>
      <c r="AE48" s="154">
        <v>0.5891676524263814</v>
      </c>
    </row>
    <row r="51" ht="12.75">
      <c r="B51" s="130" t="s">
        <v>243</v>
      </c>
    </row>
    <row r="52" ht="12.75">
      <c r="B52" s="130" t="s">
        <v>272</v>
      </c>
    </row>
  </sheetData>
  <sheetProtection/>
  <mergeCells count="20">
    <mergeCell ref="A6:AB6"/>
    <mergeCell ref="T10:U10"/>
    <mergeCell ref="W10:X10"/>
    <mergeCell ref="A7:AA7"/>
    <mergeCell ref="C8:F8"/>
    <mergeCell ref="H8:K8"/>
    <mergeCell ref="M8:P8"/>
    <mergeCell ref="R8:U8"/>
    <mergeCell ref="W8:Z8"/>
    <mergeCell ref="Y10:Z10"/>
    <mergeCell ref="AB10:AC10"/>
    <mergeCell ref="AD10:AE10"/>
    <mergeCell ref="AB8:AE8"/>
    <mergeCell ref="C10:D10"/>
    <mergeCell ref="E10:F10"/>
    <mergeCell ref="H10:I10"/>
    <mergeCell ref="J10:K10"/>
    <mergeCell ref="M10:N10"/>
    <mergeCell ref="O10:P10"/>
    <mergeCell ref="R10:S10"/>
  </mergeCells>
  <printOptions/>
  <pageMargins left="0.75" right="0.75" top="1" bottom="1" header="0.5" footer="0.5"/>
  <pageSetup fitToHeight="4" fitToWidth="1" horizontalDpi="600" verticalDpi="600" orientation="landscape" scale="39" r:id="rId1"/>
  <headerFooter alignWithMargins="0">
    <oddFooter>&amp;L&amp;F&amp;R&amp;"Arial,Italic"&amp;A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E50"/>
  <sheetViews>
    <sheetView zoomScale="85" zoomScaleNormal="85" zoomScaleSheetLayoutView="85" zoomScalePageLayoutView="0" workbookViewId="0" topLeftCell="A7">
      <selection activeCell="B51" sqref="B51"/>
    </sheetView>
  </sheetViews>
  <sheetFormatPr defaultColWidth="9.140625" defaultRowHeight="12.75"/>
  <cols>
    <col min="1" max="1" width="12.421875" style="139" bestFit="1" customWidth="1"/>
    <col min="2" max="2" width="20.140625" style="130" bestFit="1" customWidth="1"/>
    <col min="3" max="3" width="9.28125" style="158" bestFit="1" customWidth="1"/>
    <col min="4" max="4" width="14.421875" style="128" bestFit="1" customWidth="1"/>
    <col min="5" max="5" width="9.140625" style="127" bestFit="1" customWidth="1"/>
    <col min="6" max="6" width="10.7109375" style="127" customWidth="1"/>
    <col min="7" max="7" width="2.7109375" style="127" customWidth="1"/>
    <col min="8" max="8" width="9.28125" style="158" bestFit="1" customWidth="1"/>
    <col min="9" max="9" width="14.421875" style="128" bestFit="1" customWidth="1"/>
    <col min="10" max="11" width="9.28125" style="127" bestFit="1" customWidth="1"/>
    <col min="12" max="12" width="2.7109375" style="127" customWidth="1"/>
    <col min="13" max="13" width="9.28125" style="158" bestFit="1" customWidth="1"/>
    <col min="14" max="14" width="14.7109375" style="128" bestFit="1" customWidth="1"/>
    <col min="15" max="16" width="9.28125" style="127" bestFit="1" customWidth="1"/>
    <col min="17" max="17" width="2.7109375" style="127" customWidth="1"/>
    <col min="18" max="18" width="9.28125" style="158" bestFit="1" customWidth="1"/>
    <col min="19" max="19" width="14.421875" style="128" bestFit="1" customWidth="1"/>
    <col min="20" max="21" width="9.28125" style="127" bestFit="1" customWidth="1"/>
    <col min="22" max="22" width="2.7109375" style="127" customWidth="1"/>
    <col min="23" max="23" width="9.28125" style="158" bestFit="1" customWidth="1"/>
    <col min="24" max="24" width="14.140625" style="128" bestFit="1" customWidth="1"/>
    <col min="25" max="26" width="9.140625" style="127" customWidth="1"/>
    <col min="27" max="27" width="2.7109375" style="127" customWidth="1"/>
    <col min="28" max="28" width="9.140625" style="158" customWidth="1"/>
    <col min="29" max="29" width="13.421875" style="127" bestFit="1" customWidth="1"/>
    <col min="30" max="31" width="9.140625" style="127" customWidth="1"/>
    <col min="32" max="16384" width="9.140625" style="113" customWidth="1"/>
  </cols>
  <sheetData>
    <row r="1" spans="1:31" ht="21.75" customHeight="1">
      <c r="A1" s="1"/>
      <c r="B1" s="132"/>
      <c r="C1" s="160"/>
      <c r="D1" s="160"/>
      <c r="E1" s="144"/>
      <c r="F1" s="144"/>
      <c r="G1" s="144"/>
      <c r="H1" s="160"/>
      <c r="I1" s="160"/>
      <c r="J1" s="144"/>
      <c r="K1" s="144"/>
      <c r="L1" s="119"/>
      <c r="M1" s="167"/>
      <c r="N1" s="167"/>
      <c r="O1" s="119"/>
      <c r="P1" s="119" t="s">
        <v>222</v>
      </c>
      <c r="Q1" s="119"/>
      <c r="R1" s="167"/>
      <c r="S1" s="167"/>
      <c r="T1" s="119"/>
      <c r="U1" s="119"/>
      <c r="V1" s="119"/>
      <c r="W1" s="160"/>
      <c r="X1" s="160"/>
      <c r="Y1" s="144"/>
      <c r="Z1" s="144"/>
      <c r="AA1" s="144"/>
      <c r="AB1" s="160"/>
      <c r="AC1" s="160"/>
      <c r="AD1" s="144"/>
      <c r="AE1" s="7"/>
    </row>
    <row r="2" spans="1:31" ht="18">
      <c r="A2" s="1"/>
      <c r="B2" s="132"/>
      <c r="C2" s="160"/>
      <c r="D2" s="160"/>
      <c r="E2" s="144"/>
      <c r="F2" s="144"/>
      <c r="G2" s="144"/>
      <c r="H2" s="160"/>
      <c r="I2" s="160"/>
      <c r="J2" s="144"/>
      <c r="K2" s="144"/>
      <c r="L2" s="120"/>
      <c r="M2" s="168"/>
      <c r="N2" s="168"/>
      <c r="O2" s="120"/>
      <c r="P2" s="120" t="s">
        <v>80</v>
      </c>
      <c r="Q2" s="120"/>
      <c r="R2" s="168"/>
      <c r="S2" s="168"/>
      <c r="T2" s="120"/>
      <c r="U2" s="120"/>
      <c r="V2" s="120"/>
      <c r="W2" s="160"/>
      <c r="X2" s="160"/>
      <c r="Y2" s="144"/>
      <c r="Z2" s="144"/>
      <c r="AA2" s="144"/>
      <c r="AB2" s="160"/>
      <c r="AC2" s="160"/>
      <c r="AD2" s="144"/>
      <c r="AE2" s="7"/>
    </row>
    <row r="3" spans="1:31" ht="15.75">
      <c r="A3" s="1"/>
      <c r="B3" s="132"/>
      <c r="C3" s="160"/>
      <c r="D3" s="160"/>
      <c r="E3" s="144"/>
      <c r="F3" s="144"/>
      <c r="G3" s="144"/>
      <c r="H3" s="160"/>
      <c r="I3" s="160"/>
      <c r="J3" s="144"/>
      <c r="K3" s="144"/>
      <c r="L3" s="121"/>
      <c r="M3" s="169"/>
      <c r="N3" s="169"/>
      <c r="O3" s="121"/>
      <c r="P3" s="121" t="s">
        <v>1</v>
      </c>
      <c r="Q3" s="121"/>
      <c r="R3" s="169"/>
      <c r="S3" s="169"/>
      <c r="T3" s="121"/>
      <c r="U3" s="121"/>
      <c r="V3" s="121"/>
      <c r="W3" s="160"/>
      <c r="X3" s="160"/>
      <c r="Y3" s="144"/>
      <c r="Z3" s="144"/>
      <c r="AA3" s="144"/>
      <c r="AB3" s="160"/>
      <c r="AC3" s="160"/>
      <c r="AD3" s="144"/>
      <c r="AE3" s="7"/>
    </row>
    <row r="4" spans="1:31" ht="14.25" customHeight="1">
      <c r="A4" s="1"/>
      <c r="B4" s="132"/>
      <c r="C4" s="160"/>
      <c r="D4" s="160"/>
      <c r="E4" s="144"/>
      <c r="F4" s="144"/>
      <c r="G4" s="144"/>
      <c r="H4" s="160"/>
      <c r="I4" s="160"/>
      <c r="J4" s="144"/>
      <c r="K4" s="144"/>
      <c r="L4" s="123"/>
      <c r="M4" s="170"/>
      <c r="N4" s="170"/>
      <c r="O4" s="123"/>
      <c r="P4" s="129" t="s">
        <v>223</v>
      </c>
      <c r="Q4" s="123"/>
      <c r="R4" s="170"/>
      <c r="S4" s="170"/>
      <c r="T4" s="123"/>
      <c r="U4" s="123"/>
      <c r="V4" s="123"/>
      <c r="W4" s="160"/>
      <c r="X4" s="160"/>
      <c r="Y4" s="144"/>
      <c r="Z4" s="144"/>
      <c r="AA4" s="144"/>
      <c r="AB4" s="160"/>
      <c r="AC4" s="160"/>
      <c r="AD4" s="144"/>
      <c r="AE4" s="7"/>
    </row>
    <row r="5" spans="1:31" ht="15.75">
      <c r="A5" s="1"/>
      <c r="B5" s="132"/>
      <c r="C5" s="160"/>
      <c r="D5" s="160"/>
      <c r="E5" s="144"/>
      <c r="F5" s="144"/>
      <c r="G5" s="144"/>
      <c r="H5" s="160"/>
      <c r="I5" s="160"/>
      <c r="J5" s="144"/>
      <c r="K5" s="144"/>
      <c r="L5" s="122"/>
      <c r="M5" s="171"/>
      <c r="N5" s="171"/>
      <c r="O5" s="122"/>
      <c r="P5" s="122" t="s">
        <v>233</v>
      </c>
      <c r="Q5" s="122"/>
      <c r="R5" s="171"/>
      <c r="S5" s="171"/>
      <c r="T5" s="122"/>
      <c r="U5" s="122"/>
      <c r="V5" s="122"/>
      <c r="W5" s="160"/>
      <c r="X5" s="160"/>
      <c r="Y5" s="144"/>
      <c r="Z5" s="144"/>
      <c r="AA5" s="144"/>
      <c r="AB5" s="160"/>
      <c r="AC5" s="160"/>
      <c r="AD5" s="144"/>
      <c r="AE5" s="7"/>
    </row>
    <row r="6" spans="1:28" ht="12.75">
      <c r="A6" s="679"/>
      <c r="B6" s="679"/>
      <c r="C6" s="679"/>
      <c r="D6" s="679"/>
      <c r="E6" s="679"/>
      <c r="F6" s="679"/>
      <c r="G6" s="679"/>
      <c r="H6" s="679"/>
      <c r="I6" s="679"/>
      <c r="J6" s="679"/>
      <c r="K6" s="679"/>
      <c r="L6" s="679"/>
      <c r="M6" s="679"/>
      <c r="N6" s="679"/>
      <c r="O6" s="679"/>
      <c r="P6" s="679"/>
      <c r="Q6" s="679"/>
      <c r="R6" s="679"/>
      <c r="S6" s="679"/>
      <c r="T6" s="679"/>
      <c r="U6" s="679"/>
      <c r="V6" s="679"/>
      <c r="W6" s="679"/>
      <c r="X6" s="679"/>
      <c r="Y6" s="679"/>
      <c r="Z6" s="679"/>
      <c r="AA6" s="679"/>
      <c r="AB6" s="679"/>
    </row>
    <row r="7" spans="1:27" ht="12.75">
      <c r="A7" s="678" t="s">
        <v>228</v>
      </c>
      <c r="B7" s="678"/>
      <c r="C7" s="678"/>
      <c r="D7" s="678"/>
      <c r="E7" s="678"/>
      <c r="F7" s="678"/>
      <c r="G7" s="678"/>
      <c r="H7" s="678"/>
      <c r="I7" s="678"/>
      <c r="J7" s="678"/>
      <c r="K7" s="678"/>
      <c r="L7" s="678"/>
      <c r="M7" s="678"/>
      <c r="N7" s="678"/>
      <c r="O7" s="678"/>
      <c r="P7" s="678"/>
      <c r="Q7" s="678"/>
      <c r="R7" s="678"/>
      <c r="S7" s="678"/>
      <c r="T7" s="678"/>
      <c r="U7" s="678"/>
      <c r="V7" s="678"/>
      <c r="W7" s="678"/>
      <c r="X7" s="678"/>
      <c r="Y7" s="678"/>
      <c r="Z7" s="678"/>
      <c r="AA7" s="678"/>
    </row>
    <row r="8" spans="3:31" ht="12.75">
      <c r="C8" s="678" t="s">
        <v>209</v>
      </c>
      <c r="D8" s="678"/>
      <c r="E8" s="678"/>
      <c r="F8" s="678"/>
      <c r="G8" s="126"/>
      <c r="H8" s="678" t="s">
        <v>210</v>
      </c>
      <c r="I8" s="678"/>
      <c r="J8" s="678"/>
      <c r="K8" s="678"/>
      <c r="M8" s="678" t="s">
        <v>211</v>
      </c>
      <c r="N8" s="678"/>
      <c r="O8" s="678"/>
      <c r="P8" s="678"/>
      <c r="R8" s="678" t="s">
        <v>212</v>
      </c>
      <c r="S8" s="678"/>
      <c r="T8" s="678"/>
      <c r="U8" s="678"/>
      <c r="W8" s="678" t="s">
        <v>213</v>
      </c>
      <c r="X8" s="678"/>
      <c r="Y8" s="678"/>
      <c r="Z8" s="678"/>
      <c r="AB8" s="678" t="s">
        <v>214</v>
      </c>
      <c r="AC8" s="678"/>
      <c r="AD8" s="678"/>
      <c r="AE8" s="678"/>
    </row>
    <row r="10" spans="3:31" ht="12.75">
      <c r="C10" s="677" t="s">
        <v>215</v>
      </c>
      <c r="D10" s="677"/>
      <c r="E10" s="677" t="s">
        <v>216</v>
      </c>
      <c r="F10" s="677"/>
      <c r="H10" s="677" t="s">
        <v>215</v>
      </c>
      <c r="I10" s="677"/>
      <c r="J10" s="677" t="s">
        <v>216</v>
      </c>
      <c r="K10" s="677"/>
      <c r="M10" s="677" t="s">
        <v>215</v>
      </c>
      <c r="N10" s="677"/>
      <c r="O10" s="677" t="s">
        <v>216</v>
      </c>
      <c r="P10" s="677"/>
      <c r="R10" s="677" t="s">
        <v>215</v>
      </c>
      <c r="S10" s="677"/>
      <c r="T10" s="677" t="s">
        <v>216</v>
      </c>
      <c r="U10" s="677"/>
      <c r="W10" s="677" t="s">
        <v>215</v>
      </c>
      <c r="X10" s="677"/>
      <c r="Y10" s="677" t="s">
        <v>216</v>
      </c>
      <c r="Z10" s="677"/>
      <c r="AB10" s="677" t="s">
        <v>215</v>
      </c>
      <c r="AC10" s="677"/>
      <c r="AD10" s="677" t="s">
        <v>216</v>
      </c>
      <c r="AE10" s="677"/>
    </row>
    <row r="11" spans="3:31" ht="12.75">
      <c r="C11" s="158" t="s">
        <v>258</v>
      </c>
      <c r="D11" s="128" t="s">
        <v>217</v>
      </c>
      <c r="E11" s="127" t="s">
        <v>258</v>
      </c>
      <c r="F11" s="127" t="s">
        <v>217</v>
      </c>
      <c r="H11" s="158" t="s">
        <v>258</v>
      </c>
      <c r="I11" s="128" t="s">
        <v>217</v>
      </c>
      <c r="J11" s="127" t="s">
        <v>258</v>
      </c>
      <c r="K11" s="127" t="s">
        <v>217</v>
      </c>
      <c r="M11" s="158" t="s">
        <v>258</v>
      </c>
      <c r="N11" s="128" t="s">
        <v>217</v>
      </c>
      <c r="O11" s="127" t="s">
        <v>258</v>
      </c>
      <c r="P11" s="127" t="s">
        <v>217</v>
      </c>
      <c r="R11" s="158" t="s">
        <v>258</v>
      </c>
      <c r="S11" s="128" t="s">
        <v>217</v>
      </c>
      <c r="T11" s="127" t="s">
        <v>258</v>
      </c>
      <c r="U11" s="127" t="s">
        <v>217</v>
      </c>
      <c r="W11" s="158" t="s">
        <v>258</v>
      </c>
      <c r="X11" s="128" t="s">
        <v>217</v>
      </c>
      <c r="Y11" s="127" t="s">
        <v>258</v>
      </c>
      <c r="Z11" s="127" t="s">
        <v>217</v>
      </c>
      <c r="AB11" s="158" t="s">
        <v>258</v>
      </c>
      <c r="AC11" s="128" t="s">
        <v>217</v>
      </c>
      <c r="AD11" s="127" t="s">
        <v>258</v>
      </c>
      <c r="AE11" s="127" t="s">
        <v>217</v>
      </c>
    </row>
    <row r="12" ht="12.75">
      <c r="AC12" s="128"/>
    </row>
    <row r="13" spans="1:31" ht="12.75">
      <c r="A13" s="139" t="s">
        <v>10</v>
      </c>
      <c r="B13" s="131"/>
      <c r="C13" s="177">
        <v>1938</v>
      </c>
      <c r="D13" s="172">
        <v>62015212</v>
      </c>
      <c r="E13" s="173">
        <v>0.572692136460893</v>
      </c>
      <c r="F13" s="141">
        <v>0.5514342412105069</v>
      </c>
      <c r="G13" s="143"/>
      <c r="H13" s="159">
        <v>18803</v>
      </c>
      <c r="I13" s="140">
        <v>356592224</v>
      </c>
      <c r="J13" s="173">
        <v>0.7543192364409765</v>
      </c>
      <c r="K13" s="141">
        <v>0.6787858756884493</v>
      </c>
      <c r="M13" s="159">
        <v>12956</v>
      </c>
      <c r="N13" s="140">
        <v>279042700</v>
      </c>
      <c r="O13" s="173">
        <v>0.783308194275296</v>
      </c>
      <c r="P13" s="141">
        <v>0.7227891887081502</v>
      </c>
      <c r="R13" s="159">
        <v>4309</v>
      </c>
      <c r="S13" s="140">
        <v>119619479</v>
      </c>
      <c r="T13" s="173">
        <v>0.8139195881975632</v>
      </c>
      <c r="U13" s="141">
        <v>0.7858007234620709</v>
      </c>
      <c r="W13" s="159">
        <v>4127</v>
      </c>
      <c r="X13" s="140">
        <v>120008518</v>
      </c>
      <c r="Y13" s="173">
        <v>0.953652405293681</v>
      </c>
      <c r="Z13" s="141">
        <v>0.9039613098602265</v>
      </c>
      <c r="AB13" s="159">
        <v>42133</v>
      </c>
      <c r="AC13" s="140">
        <v>937278133</v>
      </c>
      <c r="AD13" s="173">
        <v>0.773466582192594</v>
      </c>
      <c r="AE13" s="141">
        <v>0.7161090054951749</v>
      </c>
    </row>
    <row r="14" spans="5:31" ht="12.75">
      <c r="E14" s="145"/>
      <c r="F14" s="145"/>
      <c r="J14" s="145"/>
      <c r="K14" s="145"/>
      <c r="O14" s="145"/>
      <c r="P14" s="145"/>
      <c r="T14" s="145"/>
      <c r="U14" s="145"/>
      <c r="Y14" s="145"/>
      <c r="Z14" s="145"/>
      <c r="AC14" s="128"/>
      <c r="AD14" s="145"/>
      <c r="AE14" s="145"/>
    </row>
    <row r="15" spans="1:31" ht="12.75">
      <c r="A15" s="112" t="s">
        <v>11</v>
      </c>
      <c r="B15" s="133" t="s">
        <v>16</v>
      </c>
      <c r="C15" s="161">
        <v>68</v>
      </c>
      <c r="D15" s="146">
        <v>2338241</v>
      </c>
      <c r="E15" s="147">
        <v>0.7461667057124002</v>
      </c>
      <c r="F15" s="148">
        <v>0.7192439148693853</v>
      </c>
      <c r="G15" s="143"/>
      <c r="H15" s="161">
        <v>224</v>
      </c>
      <c r="I15" s="146">
        <v>6860166</v>
      </c>
      <c r="J15" s="147">
        <v>0.8722082521803264</v>
      </c>
      <c r="K15" s="148">
        <v>0.708479573869186</v>
      </c>
      <c r="M15" s="161">
        <v>326</v>
      </c>
      <c r="N15" s="146">
        <v>9856515</v>
      </c>
      <c r="O15" s="147">
        <v>0.9264910623169264</v>
      </c>
      <c r="P15" s="148">
        <v>0.842170564957689</v>
      </c>
      <c r="R15" s="161">
        <v>27</v>
      </c>
      <c r="S15" s="146">
        <v>1024849</v>
      </c>
      <c r="T15" s="147">
        <v>0.9986167308986779</v>
      </c>
      <c r="U15" s="148">
        <v>0.9718836643855511</v>
      </c>
      <c r="W15" s="161">
        <v>56</v>
      </c>
      <c r="X15" s="146">
        <v>2200923</v>
      </c>
      <c r="Y15" s="147">
        <v>0.9589784961059453</v>
      </c>
      <c r="Z15" s="148">
        <v>0.8548399190763502</v>
      </c>
      <c r="AB15" s="161">
        <v>701</v>
      </c>
      <c r="AC15" s="146">
        <v>22280694</v>
      </c>
      <c r="AD15" s="147">
        <v>0.8927093737132968</v>
      </c>
      <c r="AE15" s="148">
        <v>0.7882290902236908</v>
      </c>
    </row>
    <row r="16" spans="2:31" ht="12.75">
      <c r="B16" s="134" t="s">
        <v>17</v>
      </c>
      <c r="C16" s="162">
        <v>115</v>
      </c>
      <c r="D16" s="149">
        <v>4331295</v>
      </c>
      <c r="E16" s="150">
        <v>0.5565053246429451</v>
      </c>
      <c r="F16" s="151">
        <v>0.5124073040894364</v>
      </c>
      <c r="G16" s="143"/>
      <c r="H16" s="162">
        <v>348</v>
      </c>
      <c r="I16" s="149">
        <v>12783308</v>
      </c>
      <c r="J16" s="150">
        <v>0.7742258953555384</v>
      </c>
      <c r="K16" s="151">
        <v>0.6913112130547663</v>
      </c>
      <c r="M16" s="162">
        <v>423</v>
      </c>
      <c r="N16" s="149">
        <v>15029440</v>
      </c>
      <c r="O16" s="150">
        <v>0.8098521210027019</v>
      </c>
      <c r="P16" s="151">
        <v>0.7788159649540688</v>
      </c>
      <c r="R16" s="162">
        <v>41</v>
      </c>
      <c r="S16" s="149">
        <v>1609482</v>
      </c>
      <c r="T16" s="150">
        <v>0.7681887421003026</v>
      </c>
      <c r="U16" s="151">
        <v>0.6900551936699351</v>
      </c>
      <c r="W16" s="162">
        <v>88</v>
      </c>
      <c r="X16" s="149">
        <v>4132203</v>
      </c>
      <c r="Y16" s="150">
        <v>0.9163955663116317</v>
      </c>
      <c r="Z16" s="151">
        <v>0.9058907867865066</v>
      </c>
      <c r="AB16" s="162">
        <v>1015</v>
      </c>
      <c r="AC16" s="149">
        <v>37885728</v>
      </c>
      <c r="AD16" s="150">
        <v>0.7643957445614398</v>
      </c>
      <c r="AE16" s="151">
        <v>0.7129966468095699</v>
      </c>
    </row>
    <row r="17" spans="2:31" ht="12.75">
      <c r="B17" s="134" t="s">
        <v>18</v>
      </c>
      <c r="C17" s="162">
        <v>167</v>
      </c>
      <c r="D17" s="149">
        <v>7236933</v>
      </c>
      <c r="E17" s="150">
        <v>0.5516512921671763</v>
      </c>
      <c r="F17" s="151">
        <v>0.5744132334742093</v>
      </c>
      <c r="G17" s="143"/>
      <c r="H17" s="162">
        <v>508</v>
      </c>
      <c r="I17" s="149">
        <v>19497047</v>
      </c>
      <c r="J17" s="150">
        <v>0.6638999290568023</v>
      </c>
      <c r="K17" s="151">
        <v>0.6370394482779362</v>
      </c>
      <c r="M17" s="162">
        <v>578</v>
      </c>
      <c r="N17" s="149">
        <v>20616845</v>
      </c>
      <c r="O17" s="150">
        <v>0.7584015540461346</v>
      </c>
      <c r="P17" s="151">
        <v>0.7231218323084967</v>
      </c>
      <c r="R17" s="162">
        <v>72</v>
      </c>
      <c r="S17" s="149">
        <v>2518395</v>
      </c>
      <c r="T17" s="150">
        <v>0.6811046988467178</v>
      </c>
      <c r="U17" s="151">
        <v>0.5386882024069715</v>
      </c>
      <c r="W17" s="162">
        <v>175</v>
      </c>
      <c r="X17" s="149">
        <v>8332199</v>
      </c>
      <c r="Y17" s="150">
        <v>1.004818131650353</v>
      </c>
      <c r="Z17" s="151">
        <v>1.0258561999397033</v>
      </c>
      <c r="AB17" s="162">
        <v>1500</v>
      </c>
      <c r="AC17" s="149">
        <v>58201419</v>
      </c>
      <c r="AD17" s="150">
        <v>0.7109329005603428</v>
      </c>
      <c r="AE17" s="151">
        <v>0.6886709343332862</v>
      </c>
    </row>
    <row r="18" spans="2:31" ht="12.75">
      <c r="B18" s="134" t="s">
        <v>19</v>
      </c>
      <c r="C18" s="162">
        <v>141</v>
      </c>
      <c r="D18" s="149">
        <v>5706414</v>
      </c>
      <c r="E18" s="150">
        <v>0.42325576075855303</v>
      </c>
      <c r="F18" s="151">
        <v>0.41748745444510066</v>
      </c>
      <c r="G18" s="143"/>
      <c r="H18" s="162">
        <v>754</v>
      </c>
      <c r="I18" s="149">
        <v>26748430</v>
      </c>
      <c r="J18" s="150">
        <v>0.6400346386067334</v>
      </c>
      <c r="K18" s="151">
        <v>0.6211797197522296</v>
      </c>
      <c r="M18" s="162">
        <v>722</v>
      </c>
      <c r="N18" s="149">
        <v>25196023</v>
      </c>
      <c r="O18" s="150">
        <v>0.6793678405085947</v>
      </c>
      <c r="P18" s="151">
        <v>0.6610785870452716</v>
      </c>
      <c r="R18" s="162">
        <v>133</v>
      </c>
      <c r="S18" s="149">
        <v>5702011</v>
      </c>
      <c r="T18" s="150">
        <v>0.7231285826467702</v>
      </c>
      <c r="U18" s="151">
        <v>0.7150104206061829</v>
      </c>
      <c r="W18" s="162">
        <v>217</v>
      </c>
      <c r="X18" s="149">
        <v>9147482</v>
      </c>
      <c r="Y18" s="150">
        <v>0.7874140321679999</v>
      </c>
      <c r="Z18" s="151">
        <v>0.7578055735219282</v>
      </c>
      <c r="AB18" s="162">
        <v>1967</v>
      </c>
      <c r="AC18" s="149">
        <v>72500360</v>
      </c>
      <c r="AD18" s="150">
        <v>0.6484356345267905</v>
      </c>
      <c r="AE18" s="151">
        <v>0.6310502639539608</v>
      </c>
    </row>
    <row r="19" spans="2:31" ht="12.75">
      <c r="B19" s="134" t="s">
        <v>104</v>
      </c>
      <c r="C19" s="162">
        <v>141</v>
      </c>
      <c r="D19" s="149">
        <v>5438725</v>
      </c>
      <c r="E19" s="150">
        <v>0.45289395382074804</v>
      </c>
      <c r="F19" s="151">
        <v>0.45019669938510104</v>
      </c>
      <c r="G19" s="143"/>
      <c r="H19" s="162">
        <v>949</v>
      </c>
      <c r="I19" s="149">
        <v>27515708</v>
      </c>
      <c r="J19" s="150">
        <v>0.6010763687984663</v>
      </c>
      <c r="K19" s="151">
        <v>0.5555969374594125</v>
      </c>
      <c r="M19" s="162">
        <v>908</v>
      </c>
      <c r="N19" s="149">
        <v>29504311</v>
      </c>
      <c r="O19" s="150">
        <v>0.6777415457246938</v>
      </c>
      <c r="P19" s="151">
        <v>0.6829578236950694</v>
      </c>
      <c r="R19" s="162">
        <v>179</v>
      </c>
      <c r="S19" s="149">
        <v>7531312</v>
      </c>
      <c r="T19" s="150">
        <v>0.5866633332827531</v>
      </c>
      <c r="U19" s="151">
        <v>0.5951671276217526</v>
      </c>
      <c r="W19" s="162">
        <v>332</v>
      </c>
      <c r="X19" s="149">
        <v>11726509</v>
      </c>
      <c r="Y19" s="150">
        <v>0.8224248706829789</v>
      </c>
      <c r="Z19" s="151">
        <v>0.7655502408327463</v>
      </c>
      <c r="AB19" s="162">
        <v>2509</v>
      </c>
      <c r="AC19" s="149">
        <v>81716565</v>
      </c>
      <c r="AD19" s="150">
        <v>0.6370107743606218</v>
      </c>
      <c r="AE19" s="151">
        <v>0.6154375068903332</v>
      </c>
    </row>
    <row r="20" spans="2:31" ht="12.75">
      <c r="B20" s="134" t="s">
        <v>105</v>
      </c>
      <c r="C20" s="162">
        <v>120</v>
      </c>
      <c r="D20" s="149">
        <v>4334828</v>
      </c>
      <c r="E20" s="150">
        <v>0.3875532869621515</v>
      </c>
      <c r="F20" s="151">
        <v>0.3892443518066165</v>
      </c>
      <c r="G20" s="143"/>
      <c r="H20" s="162">
        <v>1190</v>
      </c>
      <c r="I20" s="149">
        <v>28547854</v>
      </c>
      <c r="J20" s="150">
        <v>0.5904906209422212</v>
      </c>
      <c r="K20" s="151">
        <v>0.5546257428913796</v>
      </c>
      <c r="M20" s="162">
        <v>1086</v>
      </c>
      <c r="N20" s="149">
        <v>28585464</v>
      </c>
      <c r="O20" s="150">
        <v>0.652212014883982</v>
      </c>
      <c r="P20" s="151">
        <v>0.6151678927626363</v>
      </c>
      <c r="R20" s="162">
        <v>334</v>
      </c>
      <c r="S20" s="149">
        <v>11237525</v>
      </c>
      <c r="T20" s="150">
        <v>0.6742052502825489</v>
      </c>
      <c r="U20" s="151">
        <v>0.6804388780693648</v>
      </c>
      <c r="W20" s="162">
        <v>456</v>
      </c>
      <c r="X20" s="149">
        <v>14846868</v>
      </c>
      <c r="Y20" s="150">
        <v>0.9430739080403615</v>
      </c>
      <c r="Z20" s="151">
        <v>0.926291945369605</v>
      </c>
      <c r="AB20" s="162">
        <v>3186</v>
      </c>
      <c r="AC20" s="149">
        <v>87552539</v>
      </c>
      <c r="AD20" s="150">
        <v>0.6411837786887647</v>
      </c>
      <c r="AE20" s="151">
        <v>0.618221816470308</v>
      </c>
    </row>
    <row r="21" spans="2:31" ht="12.75">
      <c r="B21" s="134" t="s">
        <v>106</v>
      </c>
      <c r="C21" s="162">
        <v>151</v>
      </c>
      <c r="D21" s="149">
        <v>4515117</v>
      </c>
      <c r="E21" s="150">
        <v>0.4220255291347698</v>
      </c>
      <c r="F21" s="151">
        <v>0.422043059438415</v>
      </c>
      <c r="G21" s="143"/>
      <c r="H21" s="162">
        <v>1704</v>
      </c>
      <c r="I21" s="149">
        <v>30304643</v>
      </c>
      <c r="J21" s="150">
        <v>0.6336034677920943</v>
      </c>
      <c r="K21" s="151">
        <v>0.5735774273355231</v>
      </c>
      <c r="M21" s="162">
        <v>1349</v>
      </c>
      <c r="N21" s="149">
        <v>27630782</v>
      </c>
      <c r="O21" s="150">
        <v>0.7032791058222669</v>
      </c>
      <c r="P21" s="151">
        <v>0.6301041003698021</v>
      </c>
      <c r="R21" s="162">
        <v>456</v>
      </c>
      <c r="S21" s="149">
        <v>12658192</v>
      </c>
      <c r="T21" s="150">
        <v>0.713066776670767</v>
      </c>
      <c r="U21" s="151">
        <v>0.6954283172325949</v>
      </c>
      <c r="W21" s="162">
        <v>476</v>
      </c>
      <c r="X21" s="149">
        <v>11961514</v>
      </c>
      <c r="Y21" s="150">
        <v>0.9275954461611335</v>
      </c>
      <c r="Z21" s="151">
        <v>0.8309382359370922</v>
      </c>
      <c r="AB21" s="162">
        <v>4136</v>
      </c>
      <c r="AC21" s="149">
        <v>87070248</v>
      </c>
      <c r="AD21" s="150">
        <v>0.6760400325474165</v>
      </c>
      <c r="AE21" s="151">
        <v>0.6220146880574631</v>
      </c>
    </row>
    <row r="22" spans="2:31" ht="12.75">
      <c r="B22" s="134" t="s">
        <v>107</v>
      </c>
      <c r="C22" s="162">
        <v>216</v>
      </c>
      <c r="D22" s="149">
        <v>5165290</v>
      </c>
      <c r="E22" s="150">
        <v>0.5402261251503349</v>
      </c>
      <c r="F22" s="151">
        <v>0.4779330185204952</v>
      </c>
      <c r="G22" s="143"/>
      <c r="H22" s="162">
        <v>2804</v>
      </c>
      <c r="I22" s="149">
        <v>39858310</v>
      </c>
      <c r="J22" s="150">
        <v>0.726087444839524</v>
      </c>
      <c r="K22" s="151">
        <v>0.6550535969164257</v>
      </c>
      <c r="M22" s="162">
        <v>1600</v>
      </c>
      <c r="N22" s="149">
        <v>29870156</v>
      </c>
      <c r="O22" s="150">
        <v>0.7398003312197039</v>
      </c>
      <c r="P22" s="151">
        <v>0.6963185361770393</v>
      </c>
      <c r="R22" s="162">
        <v>606</v>
      </c>
      <c r="S22" s="149">
        <v>15574357</v>
      </c>
      <c r="T22" s="150">
        <v>0.7782057195808878</v>
      </c>
      <c r="U22" s="151">
        <v>0.7956929506414858</v>
      </c>
      <c r="W22" s="162">
        <v>515</v>
      </c>
      <c r="X22" s="149">
        <v>13358277</v>
      </c>
      <c r="Y22" s="150">
        <v>0.945876644535112</v>
      </c>
      <c r="Z22" s="151">
        <v>0.9840152979165422</v>
      </c>
      <c r="AB22" s="162">
        <v>5741</v>
      </c>
      <c r="AC22" s="149">
        <v>103826390</v>
      </c>
      <c r="AD22" s="150">
        <v>0.741007973436836</v>
      </c>
      <c r="AE22" s="151">
        <v>0.7029506656594567</v>
      </c>
    </row>
    <row r="23" spans="2:31" ht="12.75">
      <c r="B23" s="134" t="s">
        <v>108</v>
      </c>
      <c r="C23" s="162">
        <v>294</v>
      </c>
      <c r="D23" s="149">
        <v>7420313</v>
      </c>
      <c r="E23" s="150">
        <v>0.6947233610394848</v>
      </c>
      <c r="F23" s="151">
        <v>0.667828939227811</v>
      </c>
      <c r="G23" s="143"/>
      <c r="H23" s="162">
        <v>3645</v>
      </c>
      <c r="I23" s="149">
        <v>46451699</v>
      </c>
      <c r="J23" s="150">
        <v>0.767527577186886</v>
      </c>
      <c r="K23" s="151">
        <v>0.67591990586775</v>
      </c>
      <c r="M23" s="162">
        <v>2295</v>
      </c>
      <c r="N23" s="149">
        <v>34881157</v>
      </c>
      <c r="O23" s="150">
        <v>0.8214166594809121</v>
      </c>
      <c r="P23" s="151">
        <v>0.7547065610961486</v>
      </c>
      <c r="R23" s="162">
        <v>755</v>
      </c>
      <c r="S23" s="149">
        <v>16976915</v>
      </c>
      <c r="T23" s="150">
        <v>0.8203747713178168</v>
      </c>
      <c r="U23" s="151">
        <v>0.8104371082808842</v>
      </c>
      <c r="W23" s="162">
        <v>628</v>
      </c>
      <c r="X23" s="149">
        <v>13184813</v>
      </c>
      <c r="Y23" s="150">
        <v>0.9837813924955685</v>
      </c>
      <c r="Z23" s="151">
        <v>0.9045546656471847</v>
      </c>
      <c r="AB23" s="162">
        <v>7617</v>
      </c>
      <c r="AC23" s="149">
        <v>118914897</v>
      </c>
      <c r="AD23" s="150">
        <v>0.7996999074915152</v>
      </c>
      <c r="AE23" s="151">
        <v>0.7359650791451466</v>
      </c>
    </row>
    <row r="24" spans="2:31" ht="12.75">
      <c r="B24" s="134" t="s">
        <v>109</v>
      </c>
      <c r="C24" s="162">
        <v>278</v>
      </c>
      <c r="D24" s="149">
        <v>7495571</v>
      </c>
      <c r="E24" s="150">
        <v>0.759210430983277</v>
      </c>
      <c r="F24" s="151">
        <v>0.7779236254369525</v>
      </c>
      <c r="G24" s="143"/>
      <c r="H24" s="162">
        <v>3375</v>
      </c>
      <c r="I24" s="149">
        <v>50532106</v>
      </c>
      <c r="J24" s="150">
        <v>0.8605797054095653</v>
      </c>
      <c r="K24" s="151">
        <v>0.7870159473348091</v>
      </c>
      <c r="M24" s="162">
        <v>1985</v>
      </c>
      <c r="N24" s="149">
        <v>30406352</v>
      </c>
      <c r="O24" s="150">
        <v>0.8905786563309047</v>
      </c>
      <c r="P24" s="151">
        <v>0.8513307717096862</v>
      </c>
      <c r="R24" s="162">
        <v>766</v>
      </c>
      <c r="S24" s="149">
        <v>17219258</v>
      </c>
      <c r="T24" s="150">
        <v>0.9039220220693136</v>
      </c>
      <c r="U24" s="151">
        <v>0.850962180679652</v>
      </c>
      <c r="W24" s="162">
        <v>565</v>
      </c>
      <c r="X24" s="149">
        <v>13102133</v>
      </c>
      <c r="Y24" s="150">
        <v>1.0054638149411224</v>
      </c>
      <c r="Z24" s="151">
        <v>0.959459282045479</v>
      </c>
      <c r="AB24" s="162">
        <v>6969</v>
      </c>
      <c r="AC24" s="149">
        <v>118755420</v>
      </c>
      <c r="AD24" s="150">
        <v>0.87923808369155</v>
      </c>
      <c r="AE24" s="151">
        <v>0.8278544965432459</v>
      </c>
    </row>
    <row r="25" spans="2:31" ht="12.75">
      <c r="B25" s="134" t="s">
        <v>110</v>
      </c>
      <c r="C25" s="162">
        <v>183</v>
      </c>
      <c r="D25" s="149">
        <v>5874979</v>
      </c>
      <c r="E25" s="150">
        <v>0.8933945918870982</v>
      </c>
      <c r="F25" s="151">
        <v>0.9559080562662767</v>
      </c>
      <c r="G25" s="143"/>
      <c r="H25" s="162">
        <v>2252</v>
      </c>
      <c r="I25" s="149">
        <v>40240951</v>
      </c>
      <c r="J25" s="150">
        <v>0.9552879389073484</v>
      </c>
      <c r="K25" s="151">
        <v>0.8847930891432801</v>
      </c>
      <c r="M25" s="162">
        <v>1152</v>
      </c>
      <c r="N25" s="149">
        <v>18687822</v>
      </c>
      <c r="O25" s="150">
        <v>0.9151771985634699</v>
      </c>
      <c r="P25" s="151">
        <v>0.9104931128724942</v>
      </c>
      <c r="R25" s="162">
        <v>564</v>
      </c>
      <c r="S25" s="149">
        <v>15245599</v>
      </c>
      <c r="T25" s="150">
        <v>1.0028095023952563</v>
      </c>
      <c r="U25" s="151">
        <v>0.9848909908281241</v>
      </c>
      <c r="W25" s="162">
        <v>382</v>
      </c>
      <c r="X25" s="149">
        <v>9127493</v>
      </c>
      <c r="Y25" s="150">
        <v>1.068749642934103</v>
      </c>
      <c r="Z25" s="151">
        <v>0.9525480663790092</v>
      </c>
      <c r="AB25" s="162">
        <v>4533</v>
      </c>
      <c r="AC25" s="149">
        <v>89176844</v>
      </c>
      <c r="AD25" s="150">
        <v>0.9561555071489154</v>
      </c>
      <c r="AE25" s="151">
        <v>0.9173325546143545</v>
      </c>
    </row>
    <row r="26" spans="2:31" ht="12.75">
      <c r="B26" s="134" t="s">
        <v>111</v>
      </c>
      <c r="C26" s="162">
        <v>56</v>
      </c>
      <c r="D26" s="149">
        <v>1859062</v>
      </c>
      <c r="E26" s="150">
        <v>0.8798554271839489</v>
      </c>
      <c r="F26" s="151">
        <v>0.8443626787777347</v>
      </c>
      <c r="G26" s="143"/>
      <c r="H26" s="162">
        <v>820</v>
      </c>
      <c r="I26" s="149">
        <v>20533367</v>
      </c>
      <c r="J26" s="150">
        <v>0.9990495627269718</v>
      </c>
      <c r="K26" s="151">
        <v>0.9512670183968615</v>
      </c>
      <c r="M26" s="162">
        <v>472</v>
      </c>
      <c r="N26" s="149">
        <v>7608941</v>
      </c>
      <c r="O26" s="150">
        <v>1.1389206140480823</v>
      </c>
      <c r="P26" s="151">
        <v>0.9497852592846595</v>
      </c>
      <c r="R26" s="162">
        <v>292</v>
      </c>
      <c r="S26" s="149">
        <v>9356488</v>
      </c>
      <c r="T26" s="150">
        <v>1.0549672246612316</v>
      </c>
      <c r="U26" s="151">
        <v>1.0536123928787695</v>
      </c>
      <c r="W26" s="162">
        <v>158</v>
      </c>
      <c r="X26" s="149">
        <v>5745587</v>
      </c>
      <c r="Y26" s="150">
        <v>1.0724003979284207</v>
      </c>
      <c r="Z26" s="151">
        <v>1.0812719443846863</v>
      </c>
      <c r="AB26" s="162">
        <v>1798</v>
      </c>
      <c r="AC26" s="149">
        <v>45103445</v>
      </c>
      <c r="AD26" s="150">
        <v>1.0435449120836042</v>
      </c>
      <c r="AE26" s="151">
        <v>0.9806726034959716</v>
      </c>
    </row>
    <row r="27" spans="2:31" ht="12.75">
      <c r="B27" s="134" t="s">
        <v>112</v>
      </c>
      <c r="C27" s="162">
        <v>8</v>
      </c>
      <c r="D27" s="149">
        <v>298444</v>
      </c>
      <c r="E27" s="150">
        <v>0.6834557573458683</v>
      </c>
      <c r="F27" s="151">
        <v>0.5667481592292192</v>
      </c>
      <c r="G27" s="143"/>
      <c r="H27" s="162">
        <v>210</v>
      </c>
      <c r="I27" s="149">
        <v>5955383</v>
      </c>
      <c r="J27" s="150">
        <v>0.8175368983599987</v>
      </c>
      <c r="K27" s="151">
        <v>0.7478629946066702</v>
      </c>
      <c r="M27" s="162">
        <v>55</v>
      </c>
      <c r="N27" s="149">
        <v>1009864</v>
      </c>
      <c r="O27" s="150">
        <v>0.9952994720388699</v>
      </c>
      <c r="P27" s="151">
        <v>0.718834822452016</v>
      </c>
      <c r="R27" s="162">
        <v>74</v>
      </c>
      <c r="S27" s="149">
        <v>2499974</v>
      </c>
      <c r="T27" s="150">
        <v>0.8599105739484738</v>
      </c>
      <c r="U27" s="151">
        <v>0.7790976465717153</v>
      </c>
      <c r="W27" s="162">
        <v>67</v>
      </c>
      <c r="X27" s="149">
        <v>2780087</v>
      </c>
      <c r="Y27" s="150">
        <v>1.0447184725405103</v>
      </c>
      <c r="Z27" s="151">
        <v>1.0573189976521176</v>
      </c>
      <c r="AB27" s="162">
        <v>414</v>
      </c>
      <c r="AC27" s="149">
        <v>12543752</v>
      </c>
      <c r="AD27" s="150">
        <v>0.8733777746199292</v>
      </c>
      <c r="AE27" s="151">
        <v>0.797297676137128</v>
      </c>
    </row>
    <row r="28" spans="2:31" ht="12.75">
      <c r="B28" s="134" t="s">
        <v>113</v>
      </c>
      <c r="C28" s="162">
        <v>0</v>
      </c>
      <c r="D28" s="149">
        <v>0</v>
      </c>
      <c r="E28" s="150">
        <v>0</v>
      </c>
      <c r="F28" s="151">
        <v>0</v>
      </c>
      <c r="G28" s="143"/>
      <c r="H28" s="162">
        <v>20</v>
      </c>
      <c r="I28" s="149">
        <v>763252</v>
      </c>
      <c r="J28" s="150">
        <v>0.7568742154525716</v>
      </c>
      <c r="K28" s="151">
        <v>0.8891532272861332</v>
      </c>
      <c r="M28" s="162">
        <v>5</v>
      </c>
      <c r="N28" s="149">
        <v>159028</v>
      </c>
      <c r="O28" s="150">
        <v>1.2532427656561351</v>
      </c>
      <c r="P28" s="151">
        <v>1.0933095148772944</v>
      </c>
      <c r="R28" s="162">
        <v>10</v>
      </c>
      <c r="S28" s="149">
        <v>465122</v>
      </c>
      <c r="T28" s="150">
        <v>0.8256704237423181</v>
      </c>
      <c r="U28" s="151">
        <v>0.9634547828125282</v>
      </c>
      <c r="W28" s="162">
        <v>12</v>
      </c>
      <c r="X28" s="149">
        <v>362430</v>
      </c>
      <c r="Y28" s="150">
        <v>1.2773526440667509</v>
      </c>
      <c r="Z28" s="151">
        <v>1.0193209973643371</v>
      </c>
      <c r="AB28" s="162">
        <v>47</v>
      </c>
      <c r="AC28" s="149">
        <v>1749832</v>
      </c>
      <c r="AD28" s="150">
        <v>0.8707530179465904</v>
      </c>
      <c r="AE28" s="151">
        <v>0.885592387903778</v>
      </c>
    </row>
    <row r="29" spans="2:31" ht="12.75">
      <c r="B29" s="135" t="s">
        <v>114</v>
      </c>
      <c r="C29" s="163">
        <v>0</v>
      </c>
      <c r="D29" s="152">
        <v>0</v>
      </c>
      <c r="E29" s="153">
        <v>0</v>
      </c>
      <c r="F29" s="154">
        <v>0</v>
      </c>
      <c r="G29" s="143"/>
      <c r="H29" s="163">
        <v>0</v>
      </c>
      <c r="I29" s="152">
        <v>0</v>
      </c>
      <c r="J29" s="153">
        <v>0</v>
      </c>
      <c r="K29" s="154">
        <v>0</v>
      </c>
      <c r="M29" s="163"/>
      <c r="N29" s="152"/>
      <c r="O29" s="153"/>
      <c r="P29" s="154"/>
      <c r="R29" s="163">
        <v>0</v>
      </c>
      <c r="S29" s="152">
        <v>0</v>
      </c>
      <c r="T29" s="153">
        <v>0</v>
      </c>
      <c r="U29" s="154">
        <v>0</v>
      </c>
      <c r="W29" s="163"/>
      <c r="X29" s="152"/>
      <c r="Y29" s="153"/>
      <c r="Z29" s="154"/>
      <c r="AB29" s="163">
        <v>0</v>
      </c>
      <c r="AC29" s="152">
        <v>0</v>
      </c>
      <c r="AD29" s="153">
        <v>0</v>
      </c>
      <c r="AE29" s="154">
        <v>0</v>
      </c>
    </row>
    <row r="30" spans="5:31" ht="12.75">
      <c r="E30" s="145"/>
      <c r="F30" s="145"/>
      <c r="J30" s="145"/>
      <c r="K30" s="145"/>
      <c r="O30" s="145"/>
      <c r="P30" s="145"/>
      <c r="T30" s="145"/>
      <c r="U30" s="145"/>
      <c r="Y30" s="145"/>
      <c r="Z30" s="145"/>
      <c r="AC30" s="128"/>
      <c r="AD30" s="145"/>
      <c r="AE30" s="145"/>
    </row>
    <row r="31" spans="1:31" ht="12.75">
      <c r="A31" s="139" t="s">
        <v>28</v>
      </c>
      <c r="B31" s="133" t="s">
        <v>115</v>
      </c>
      <c r="C31" s="161">
        <v>8</v>
      </c>
      <c r="D31" s="146">
        <v>224783</v>
      </c>
      <c r="E31" s="147">
        <v>0.7149355396244081</v>
      </c>
      <c r="F31" s="148">
        <v>0.5121859591790852</v>
      </c>
      <c r="G31" s="143"/>
      <c r="H31" s="161">
        <v>22</v>
      </c>
      <c r="I31" s="146">
        <v>894611</v>
      </c>
      <c r="J31" s="147">
        <v>0.47109812974042575</v>
      </c>
      <c r="K31" s="148">
        <v>0.491617321213057</v>
      </c>
      <c r="M31" s="161">
        <v>71</v>
      </c>
      <c r="N31" s="146">
        <v>2776042</v>
      </c>
      <c r="O31" s="147">
        <v>1.0923466806815243</v>
      </c>
      <c r="P31" s="148">
        <v>1.1133820729108639</v>
      </c>
      <c r="R31" s="161">
        <v>17</v>
      </c>
      <c r="S31" s="146">
        <v>693978</v>
      </c>
      <c r="T31" s="147">
        <v>0.781415188872648</v>
      </c>
      <c r="U31" s="148">
        <v>0.7604339168183312</v>
      </c>
      <c r="W31" s="161">
        <v>33</v>
      </c>
      <c r="X31" s="146">
        <v>879602</v>
      </c>
      <c r="Y31" s="147">
        <v>1.5424251035761842</v>
      </c>
      <c r="Z31" s="148">
        <v>1.264219226364922</v>
      </c>
      <c r="AB31" s="161">
        <v>151</v>
      </c>
      <c r="AC31" s="146">
        <v>5469016</v>
      </c>
      <c r="AD31" s="147">
        <v>0.9094348627217124</v>
      </c>
      <c r="AE31" s="148">
        <v>0.85986532343326</v>
      </c>
    </row>
    <row r="32" spans="2:31" ht="12.75">
      <c r="B32" s="134" t="s">
        <v>116</v>
      </c>
      <c r="C32" s="162">
        <v>9</v>
      </c>
      <c r="D32" s="149">
        <v>298000</v>
      </c>
      <c r="E32" s="150">
        <v>0.5286961589049167</v>
      </c>
      <c r="F32" s="151">
        <v>0.42053601278141034</v>
      </c>
      <c r="G32" s="143"/>
      <c r="H32" s="162">
        <v>48</v>
      </c>
      <c r="I32" s="149">
        <v>1803305</v>
      </c>
      <c r="J32" s="150">
        <v>0.672517757971508</v>
      </c>
      <c r="K32" s="151">
        <v>0.673998806171585</v>
      </c>
      <c r="M32" s="162">
        <v>87</v>
      </c>
      <c r="N32" s="149">
        <v>3041654</v>
      </c>
      <c r="O32" s="150">
        <v>1.0345448805189883</v>
      </c>
      <c r="P32" s="151">
        <v>0.9902473568759118</v>
      </c>
      <c r="R32" s="162">
        <v>23</v>
      </c>
      <c r="S32" s="149">
        <v>776269</v>
      </c>
      <c r="T32" s="150">
        <v>0.742771701044079</v>
      </c>
      <c r="U32" s="151">
        <v>0.6031311561262072</v>
      </c>
      <c r="W32" s="162">
        <v>54</v>
      </c>
      <c r="X32" s="149">
        <v>1662056</v>
      </c>
      <c r="Y32" s="150">
        <v>1.3925152306353328</v>
      </c>
      <c r="Z32" s="151">
        <v>1.2593002009610268</v>
      </c>
      <c r="AB32" s="162">
        <v>221</v>
      </c>
      <c r="AC32" s="149">
        <v>7581284</v>
      </c>
      <c r="AD32" s="150">
        <v>0.9123357243547244</v>
      </c>
      <c r="AE32" s="151">
        <v>0.8365415091182639</v>
      </c>
    </row>
    <row r="33" spans="2:31" ht="12.75">
      <c r="B33" s="134" t="s">
        <v>117</v>
      </c>
      <c r="C33" s="162">
        <v>18</v>
      </c>
      <c r="D33" s="149">
        <v>753486</v>
      </c>
      <c r="E33" s="150">
        <v>0.8089066009474999</v>
      </c>
      <c r="F33" s="151">
        <v>0.783799243426539</v>
      </c>
      <c r="G33" s="143"/>
      <c r="H33" s="162">
        <v>82</v>
      </c>
      <c r="I33" s="149">
        <v>2697268</v>
      </c>
      <c r="J33" s="150">
        <v>0.8939753908198753</v>
      </c>
      <c r="K33" s="151">
        <v>0.8060270002990777</v>
      </c>
      <c r="M33" s="162">
        <v>124</v>
      </c>
      <c r="N33" s="149">
        <v>3969570</v>
      </c>
      <c r="O33" s="150">
        <v>1.3684412075169345</v>
      </c>
      <c r="P33" s="151">
        <v>1.2296057557355684</v>
      </c>
      <c r="R33" s="162">
        <v>34</v>
      </c>
      <c r="S33" s="149">
        <v>1391113</v>
      </c>
      <c r="T33" s="150">
        <v>0.8265722559077436</v>
      </c>
      <c r="U33" s="151">
        <v>0.7832975843731421</v>
      </c>
      <c r="W33" s="162">
        <v>71</v>
      </c>
      <c r="X33" s="149">
        <v>1908050</v>
      </c>
      <c r="Y33" s="150">
        <v>1.2721729897247818</v>
      </c>
      <c r="Z33" s="151">
        <v>1.049915608194179</v>
      </c>
      <c r="AB33" s="162">
        <v>329</v>
      </c>
      <c r="AC33" s="149">
        <v>10719487</v>
      </c>
      <c r="AD33" s="150">
        <v>1.091083302452462</v>
      </c>
      <c r="AE33" s="151">
        <v>0.9631742130434335</v>
      </c>
    </row>
    <row r="34" spans="2:31" ht="12.75">
      <c r="B34" s="134" t="s">
        <v>118</v>
      </c>
      <c r="C34" s="162">
        <v>35</v>
      </c>
      <c r="D34" s="149">
        <v>1289539</v>
      </c>
      <c r="E34" s="150">
        <v>0.6134572540356297</v>
      </c>
      <c r="F34" s="151">
        <v>0.5387432173128823</v>
      </c>
      <c r="G34" s="143"/>
      <c r="H34" s="162">
        <v>188</v>
      </c>
      <c r="I34" s="149">
        <v>6161122</v>
      </c>
      <c r="J34" s="150">
        <v>0.8190261517664109</v>
      </c>
      <c r="K34" s="151">
        <v>0.79448958546412</v>
      </c>
      <c r="M34" s="162">
        <v>314</v>
      </c>
      <c r="N34" s="149">
        <v>9481044</v>
      </c>
      <c r="O34" s="150">
        <v>1.1299781881821769</v>
      </c>
      <c r="P34" s="151">
        <v>1.0486547259186338</v>
      </c>
      <c r="R34" s="162">
        <v>112</v>
      </c>
      <c r="S34" s="149">
        <v>4437811</v>
      </c>
      <c r="T34" s="150">
        <v>0.9891495592367222</v>
      </c>
      <c r="U34" s="151">
        <v>0.9219840999801245</v>
      </c>
      <c r="W34" s="162">
        <v>190</v>
      </c>
      <c r="X34" s="149">
        <v>5451328</v>
      </c>
      <c r="Y34" s="150">
        <v>1.204550640164773</v>
      </c>
      <c r="Z34" s="151">
        <v>1.2375341962153055</v>
      </c>
      <c r="AB34" s="162">
        <v>839</v>
      </c>
      <c r="AC34" s="149">
        <v>26820844</v>
      </c>
      <c r="AD34" s="150">
        <v>1.0042614560108132</v>
      </c>
      <c r="AE34" s="151">
        <v>0.9441335514487131</v>
      </c>
    </row>
    <row r="35" spans="2:31" ht="12.75">
      <c r="B35" s="134" t="s">
        <v>119</v>
      </c>
      <c r="C35" s="162">
        <v>157</v>
      </c>
      <c r="D35" s="149">
        <v>5997013</v>
      </c>
      <c r="E35" s="150">
        <v>0.5846776543611347</v>
      </c>
      <c r="F35" s="151">
        <v>0.5476390878591948</v>
      </c>
      <c r="G35" s="143"/>
      <c r="H35" s="162">
        <v>1345</v>
      </c>
      <c r="I35" s="149">
        <v>28343814</v>
      </c>
      <c r="J35" s="150">
        <v>0.9160755969829624</v>
      </c>
      <c r="K35" s="151">
        <v>0.751284384943579</v>
      </c>
      <c r="M35" s="162">
        <v>1415</v>
      </c>
      <c r="N35" s="149">
        <v>35752933</v>
      </c>
      <c r="O35" s="150">
        <v>0.9511330683559445</v>
      </c>
      <c r="P35" s="151">
        <v>0.8881570691345777</v>
      </c>
      <c r="R35" s="162">
        <v>465</v>
      </c>
      <c r="S35" s="149">
        <v>17087169</v>
      </c>
      <c r="T35" s="150">
        <v>0.8748234667387677</v>
      </c>
      <c r="U35" s="151">
        <v>0.853437828874864</v>
      </c>
      <c r="W35" s="162">
        <v>761</v>
      </c>
      <c r="X35" s="149">
        <v>25519205</v>
      </c>
      <c r="Y35" s="150">
        <v>1.160379761647324</v>
      </c>
      <c r="Z35" s="151">
        <v>1.1211052920024365</v>
      </c>
      <c r="AB35" s="162">
        <v>4143</v>
      </c>
      <c r="AC35" s="149">
        <v>112700134</v>
      </c>
      <c r="AD35" s="150">
        <v>0.939072836501958</v>
      </c>
      <c r="AE35" s="151">
        <v>0.855622537672792</v>
      </c>
    </row>
    <row r="36" spans="2:31" ht="12.75">
      <c r="B36" s="134" t="s">
        <v>34</v>
      </c>
      <c r="C36" s="162">
        <v>324</v>
      </c>
      <c r="D36" s="149">
        <v>11837548</v>
      </c>
      <c r="E36" s="150">
        <v>0.5406058840445418</v>
      </c>
      <c r="F36" s="151">
        <v>0.5228422870512126</v>
      </c>
      <c r="G36" s="143"/>
      <c r="H36" s="162">
        <v>3934</v>
      </c>
      <c r="I36" s="149">
        <v>80850400</v>
      </c>
      <c r="J36" s="150">
        <v>0.7525250025762561</v>
      </c>
      <c r="K36" s="151">
        <v>0.6825029516849528</v>
      </c>
      <c r="M36" s="162">
        <v>3596</v>
      </c>
      <c r="N36" s="149">
        <v>75613986</v>
      </c>
      <c r="O36" s="150">
        <v>0.7730909502009866</v>
      </c>
      <c r="P36" s="151">
        <v>0.7152962090985844</v>
      </c>
      <c r="R36" s="162">
        <v>1051</v>
      </c>
      <c r="S36" s="149">
        <v>30603898</v>
      </c>
      <c r="T36" s="150">
        <v>0.8168713039390931</v>
      </c>
      <c r="U36" s="151">
        <v>0.800228010703283</v>
      </c>
      <c r="W36" s="162">
        <v>1004</v>
      </c>
      <c r="X36" s="149">
        <v>32037681</v>
      </c>
      <c r="Y36" s="150">
        <v>0.8437781342544246</v>
      </c>
      <c r="Z36" s="151">
        <v>0.7894190390019498</v>
      </c>
      <c r="AB36" s="162">
        <v>9909</v>
      </c>
      <c r="AC36" s="149">
        <v>230943513</v>
      </c>
      <c r="AD36" s="150">
        <v>0.7648771647913882</v>
      </c>
      <c r="AE36" s="151">
        <v>0.7091982996572402</v>
      </c>
    </row>
    <row r="37" spans="2:31" ht="12.75">
      <c r="B37" s="134" t="s">
        <v>35</v>
      </c>
      <c r="C37" s="162">
        <v>746</v>
      </c>
      <c r="D37" s="149">
        <v>23722074</v>
      </c>
      <c r="E37" s="150">
        <v>0.5974726586179782</v>
      </c>
      <c r="F37" s="151">
        <v>0.5655842225460894</v>
      </c>
      <c r="G37" s="143"/>
      <c r="H37" s="162">
        <v>7339</v>
      </c>
      <c r="I37" s="149">
        <v>140667571</v>
      </c>
      <c r="J37" s="150">
        <v>0.7100019423811181</v>
      </c>
      <c r="K37" s="151">
        <v>0.6604843209398137</v>
      </c>
      <c r="M37" s="162">
        <v>3673</v>
      </c>
      <c r="N37" s="149">
        <v>92677045</v>
      </c>
      <c r="O37" s="150">
        <v>0.7075383682425009</v>
      </c>
      <c r="P37" s="151">
        <v>0.6527187794046306</v>
      </c>
      <c r="R37" s="162">
        <v>1597</v>
      </c>
      <c r="S37" s="149">
        <v>42397732</v>
      </c>
      <c r="T37" s="150">
        <v>0.7725579072061246</v>
      </c>
      <c r="U37" s="151">
        <v>0.7404754149447672</v>
      </c>
      <c r="W37" s="162">
        <v>1180</v>
      </c>
      <c r="X37" s="149">
        <v>34056589</v>
      </c>
      <c r="Y37" s="150">
        <v>0.8951103270888654</v>
      </c>
      <c r="Z37" s="151">
        <v>0.8608755612856043</v>
      </c>
      <c r="AB37" s="162">
        <v>14535</v>
      </c>
      <c r="AC37" s="149">
        <v>333521011</v>
      </c>
      <c r="AD37" s="150">
        <v>0.7209158350497893</v>
      </c>
      <c r="AE37" s="151">
        <v>0.6755224862042098</v>
      </c>
    </row>
    <row r="38" spans="2:31" ht="12.75">
      <c r="B38" s="135" t="s">
        <v>36</v>
      </c>
      <c r="C38" s="163">
        <v>641</v>
      </c>
      <c r="D38" s="152">
        <v>17892769</v>
      </c>
      <c r="E38" s="153">
        <v>0.552560450910708</v>
      </c>
      <c r="F38" s="154">
        <v>0.5518165656754543</v>
      </c>
      <c r="G38" s="143"/>
      <c r="H38" s="163">
        <v>5845</v>
      </c>
      <c r="I38" s="152">
        <v>95174133</v>
      </c>
      <c r="J38" s="153">
        <v>0.7840135050880102</v>
      </c>
      <c r="K38" s="154">
        <v>0.6770263618632103</v>
      </c>
      <c r="M38" s="163">
        <v>3676</v>
      </c>
      <c r="N38" s="152">
        <v>55730426</v>
      </c>
      <c r="O38" s="153">
        <v>0.7834408347644782</v>
      </c>
      <c r="P38" s="154">
        <v>0.694218682216195</v>
      </c>
      <c r="R38" s="163">
        <v>1010</v>
      </c>
      <c r="S38" s="152">
        <v>22231509</v>
      </c>
      <c r="T38" s="153">
        <v>0.8404474435677416</v>
      </c>
      <c r="U38" s="154">
        <v>0.7964211462790245</v>
      </c>
      <c r="W38" s="163">
        <v>834</v>
      </c>
      <c r="X38" s="152">
        <v>18494007</v>
      </c>
      <c r="Y38" s="153">
        <v>0.9372108300038002</v>
      </c>
      <c r="Z38" s="154">
        <v>0.8556602999918284</v>
      </c>
      <c r="AB38" s="163">
        <v>12006</v>
      </c>
      <c r="AC38" s="152">
        <v>209522844</v>
      </c>
      <c r="AD38" s="153">
        <v>0.7796599982622862</v>
      </c>
      <c r="AE38" s="154">
        <v>0.6919334135129522</v>
      </c>
    </row>
    <row r="39" spans="5:31" ht="12.75">
      <c r="E39" s="145"/>
      <c r="F39" s="145"/>
      <c r="J39" s="145"/>
      <c r="K39" s="145"/>
      <c r="O39" s="145"/>
      <c r="P39" s="145"/>
      <c r="T39" s="145"/>
      <c r="U39" s="145"/>
      <c r="Y39" s="145"/>
      <c r="Z39" s="145"/>
      <c r="AC39" s="128"/>
      <c r="AD39" s="145"/>
      <c r="AE39" s="145"/>
    </row>
    <row r="40" spans="1:31" ht="12.75">
      <c r="A40" s="139" t="s">
        <v>218</v>
      </c>
      <c r="B40" s="133" t="s">
        <v>159</v>
      </c>
      <c r="C40" s="161">
        <v>179</v>
      </c>
      <c r="D40" s="146">
        <v>937275</v>
      </c>
      <c r="E40" s="147">
        <v>0.6704462606421612</v>
      </c>
      <c r="F40" s="148">
        <v>0.6768229399923151</v>
      </c>
      <c r="G40" s="143"/>
      <c r="H40" s="161">
        <v>7665</v>
      </c>
      <c r="I40" s="146">
        <v>38480828</v>
      </c>
      <c r="J40" s="147">
        <v>0.8597977211726032</v>
      </c>
      <c r="K40" s="148">
        <v>0.8507868531287471</v>
      </c>
      <c r="M40" s="161">
        <v>3346</v>
      </c>
      <c r="N40" s="146">
        <v>17170432</v>
      </c>
      <c r="O40" s="147">
        <v>0.8945954680467327</v>
      </c>
      <c r="P40" s="148">
        <v>0.8937873919587516</v>
      </c>
      <c r="R40" s="161">
        <v>699</v>
      </c>
      <c r="S40" s="146">
        <v>3859539</v>
      </c>
      <c r="T40" s="147">
        <v>0.965563395604944</v>
      </c>
      <c r="U40" s="148">
        <v>0.9672723059224722</v>
      </c>
      <c r="W40" s="161">
        <v>748</v>
      </c>
      <c r="X40" s="146">
        <v>3762531</v>
      </c>
      <c r="Y40" s="147">
        <v>1.1067901903705744</v>
      </c>
      <c r="Z40" s="148">
        <v>1.078162183142544</v>
      </c>
      <c r="AB40" s="161">
        <v>12637</v>
      </c>
      <c r="AC40" s="146">
        <v>64210605</v>
      </c>
      <c r="AD40" s="147">
        <v>0.8823568553876968</v>
      </c>
      <c r="AE40" s="148">
        <v>0.8759343991300842</v>
      </c>
    </row>
    <row r="41" spans="1:31" ht="12.75">
      <c r="A41" s="139" t="s">
        <v>219</v>
      </c>
      <c r="B41" s="134" t="s">
        <v>160</v>
      </c>
      <c r="C41" s="162">
        <v>620</v>
      </c>
      <c r="D41" s="149">
        <v>8518767</v>
      </c>
      <c r="E41" s="150">
        <v>0.5975081731167363</v>
      </c>
      <c r="F41" s="151">
        <v>0.5834187433122885</v>
      </c>
      <c r="G41" s="143"/>
      <c r="H41" s="162">
        <v>4922</v>
      </c>
      <c r="I41" s="149">
        <v>57409796</v>
      </c>
      <c r="J41" s="150">
        <v>0.7525427509071224</v>
      </c>
      <c r="K41" s="151">
        <v>0.7463273374610864</v>
      </c>
      <c r="M41" s="162">
        <v>4426</v>
      </c>
      <c r="N41" s="149">
        <v>51409938</v>
      </c>
      <c r="O41" s="150">
        <v>0.8095180683609788</v>
      </c>
      <c r="P41" s="151">
        <v>0.8115206054396126</v>
      </c>
      <c r="R41" s="162">
        <v>1499</v>
      </c>
      <c r="S41" s="149">
        <v>18800253</v>
      </c>
      <c r="T41" s="150">
        <v>0.8310138170654968</v>
      </c>
      <c r="U41" s="151">
        <v>0.8279229958259445</v>
      </c>
      <c r="W41" s="162">
        <v>1080</v>
      </c>
      <c r="X41" s="149">
        <v>14944775</v>
      </c>
      <c r="Y41" s="150">
        <v>0.978137698638707</v>
      </c>
      <c r="Z41" s="151">
        <v>0.988421748358628</v>
      </c>
      <c r="AB41" s="162">
        <v>12547</v>
      </c>
      <c r="AC41" s="149">
        <v>151083529</v>
      </c>
      <c r="AD41" s="150">
        <v>0.7864709559945987</v>
      </c>
      <c r="AE41" s="151">
        <v>0.784025801830345</v>
      </c>
    </row>
    <row r="42" spans="2:31" ht="12.75">
      <c r="B42" s="134" t="s">
        <v>161</v>
      </c>
      <c r="C42" s="162">
        <v>506</v>
      </c>
      <c r="D42" s="149">
        <v>15476253</v>
      </c>
      <c r="E42" s="150">
        <v>0.5820993632109042</v>
      </c>
      <c r="F42" s="151">
        <v>0.5833192874027454</v>
      </c>
      <c r="G42" s="143"/>
      <c r="H42" s="162">
        <v>3210</v>
      </c>
      <c r="I42" s="149">
        <v>90545676</v>
      </c>
      <c r="J42" s="150">
        <v>0.6970463027729239</v>
      </c>
      <c r="K42" s="151">
        <v>0.7005920538330538</v>
      </c>
      <c r="M42" s="162">
        <v>2689</v>
      </c>
      <c r="N42" s="149">
        <v>74065076</v>
      </c>
      <c r="O42" s="150">
        <v>0.7424023280146651</v>
      </c>
      <c r="P42" s="151">
        <v>0.7374658633659201</v>
      </c>
      <c r="R42" s="162">
        <v>932</v>
      </c>
      <c r="S42" s="149">
        <v>27540853</v>
      </c>
      <c r="T42" s="150">
        <v>0.7576555976652356</v>
      </c>
      <c r="U42" s="151">
        <v>0.7536043058787218</v>
      </c>
      <c r="W42" s="162">
        <v>1142</v>
      </c>
      <c r="X42" s="149">
        <v>34354560</v>
      </c>
      <c r="Y42" s="150">
        <v>0.9487666901208073</v>
      </c>
      <c r="Z42" s="151">
        <v>0.9494624817693798</v>
      </c>
      <c r="AB42" s="162">
        <v>8479</v>
      </c>
      <c r="AC42" s="149">
        <v>241982418</v>
      </c>
      <c r="AD42" s="150">
        <v>0.7353721134756251</v>
      </c>
      <c r="AE42" s="151">
        <v>0.7356574330271907</v>
      </c>
    </row>
    <row r="43" spans="2:31" ht="12.75">
      <c r="B43" s="135" t="s">
        <v>162</v>
      </c>
      <c r="C43" s="163">
        <v>633</v>
      </c>
      <c r="D43" s="152">
        <v>37082917</v>
      </c>
      <c r="E43" s="153">
        <v>0.5230883296952477</v>
      </c>
      <c r="F43" s="154">
        <v>0.5301798982955548</v>
      </c>
      <c r="G43" s="143"/>
      <c r="H43" s="163">
        <v>3006</v>
      </c>
      <c r="I43" s="152">
        <v>170155924</v>
      </c>
      <c r="J43" s="153">
        <v>0.6176814571971014</v>
      </c>
      <c r="K43" s="154">
        <v>0.6211342325072735</v>
      </c>
      <c r="M43" s="163">
        <v>2495</v>
      </c>
      <c r="N43" s="152">
        <v>136397254</v>
      </c>
      <c r="O43" s="153">
        <v>0.6724357938494702</v>
      </c>
      <c r="P43" s="154">
        <v>0.6716731582030034</v>
      </c>
      <c r="R43" s="163">
        <v>1179</v>
      </c>
      <c r="S43" s="152">
        <v>69418834</v>
      </c>
      <c r="T43" s="153">
        <v>0.7674412496547133</v>
      </c>
      <c r="U43" s="154">
        <v>0.7801371453921981</v>
      </c>
      <c r="W43" s="163">
        <v>1157</v>
      </c>
      <c r="X43" s="152">
        <v>66946652</v>
      </c>
      <c r="Y43" s="153">
        <v>0.8609031362016668</v>
      </c>
      <c r="Z43" s="154">
        <v>0.8586680031181112</v>
      </c>
      <c r="AB43" s="163">
        <v>8470</v>
      </c>
      <c r="AC43" s="152">
        <v>480001581</v>
      </c>
      <c r="AD43" s="153">
        <v>0.6686502691348307</v>
      </c>
      <c r="AE43" s="154">
        <v>0.6723583756722623</v>
      </c>
    </row>
    <row r="44" spans="5:31" ht="12.75">
      <c r="E44" s="145"/>
      <c r="F44" s="145"/>
      <c r="J44" s="145"/>
      <c r="K44" s="145"/>
      <c r="O44" s="145"/>
      <c r="P44" s="145"/>
      <c r="T44" s="145"/>
      <c r="U44" s="145"/>
      <c r="Y44" s="145"/>
      <c r="Z44" s="145"/>
      <c r="AC44" s="128"/>
      <c r="AD44" s="145"/>
      <c r="AE44" s="145"/>
    </row>
    <row r="45" spans="1:31" ht="12.75">
      <c r="A45" s="139" t="s">
        <v>224</v>
      </c>
      <c r="B45" s="133" t="s">
        <v>220</v>
      </c>
      <c r="C45" s="161">
        <v>992</v>
      </c>
      <c r="D45" s="146">
        <v>32085949</v>
      </c>
      <c r="E45" s="147">
        <v>0.5920380785523495</v>
      </c>
      <c r="F45" s="148">
        <v>0.5810870710008691</v>
      </c>
      <c r="G45" s="143"/>
      <c r="H45" s="161">
        <v>9170</v>
      </c>
      <c r="I45" s="146">
        <v>171303037</v>
      </c>
      <c r="J45" s="147">
        <v>0.7575645853694442</v>
      </c>
      <c r="K45" s="148">
        <v>0.6704040483153775</v>
      </c>
      <c r="M45" s="161">
        <v>6485</v>
      </c>
      <c r="N45" s="146">
        <v>139027976</v>
      </c>
      <c r="O45" s="147">
        <v>0.795661986558322</v>
      </c>
      <c r="P45" s="148">
        <v>0.7431219678760798</v>
      </c>
      <c r="R45" s="161">
        <v>2916</v>
      </c>
      <c r="S45" s="146">
        <v>76587347</v>
      </c>
      <c r="T45" s="147">
        <v>0.8292928249232072</v>
      </c>
      <c r="U45" s="148">
        <v>0.8109813197626038</v>
      </c>
      <c r="W45" s="161">
        <v>2035</v>
      </c>
      <c r="X45" s="146">
        <v>59496080</v>
      </c>
      <c r="Y45" s="147">
        <v>0.967619302372248</v>
      </c>
      <c r="Z45" s="148">
        <v>0.9280044185376778</v>
      </c>
      <c r="AB45" s="161">
        <v>21598</v>
      </c>
      <c r="AC45" s="146">
        <v>478500389</v>
      </c>
      <c r="AD45" s="147">
        <v>0.7839581188796347</v>
      </c>
      <c r="AE45" s="148">
        <v>0.7290043052974187</v>
      </c>
    </row>
    <row r="46" spans="1:31" ht="12.75">
      <c r="A46" s="139" t="s">
        <v>225</v>
      </c>
      <c r="B46" s="135" t="s">
        <v>221</v>
      </c>
      <c r="C46" s="163">
        <v>946</v>
      </c>
      <c r="D46" s="152">
        <v>29929263</v>
      </c>
      <c r="E46" s="153">
        <v>0.5537185322153197</v>
      </c>
      <c r="F46" s="154">
        <v>0.5228316319416977</v>
      </c>
      <c r="G46" s="143"/>
      <c r="H46" s="163">
        <v>9633</v>
      </c>
      <c r="I46" s="152">
        <v>185289187</v>
      </c>
      <c r="J46" s="153">
        <v>0.7512555999688575</v>
      </c>
      <c r="K46" s="154">
        <v>0.6867236560696535</v>
      </c>
      <c r="M46" s="163">
        <v>6471</v>
      </c>
      <c r="N46" s="152">
        <v>140014724</v>
      </c>
      <c r="O46" s="153">
        <v>0.7713066442918268</v>
      </c>
      <c r="P46" s="154">
        <v>0.7036715123669105</v>
      </c>
      <c r="R46" s="163">
        <v>1393</v>
      </c>
      <c r="S46" s="152">
        <v>43032132</v>
      </c>
      <c r="T46" s="153">
        <v>0.7835148652343614</v>
      </c>
      <c r="U46" s="154">
        <v>0.7446505350676142</v>
      </c>
      <c r="W46" s="163">
        <v>2092</v>
      </c>
      <c r="X46" s="152">
        <v>60512438</v>
      </c>
      <c r="Y46" s="153">
        <v>0.9404475777032882</v>
      </c>
      <c r="Z46" s="154">
        <v>0.8815064791119549</v>
      </c>
      <c r="AB46" s="163">
        <v>20535</v>
      </c>
      <c r="AC46" s="152">
        <v>458777744</v>
      </c>
      <c r="AD46" s="153">
        <v>0.7627307350777487</v>
      </c>
      <c r="AE46" s="154">
        <v>0.7031365855360296</v>
      </c>
    </row>
    <row r="49" ht="12.75">
      <c r="B49" s="130" t="s">
        <v>244</v>
      </c>
    </row>
    <row r="50" ht="12.75">
      <c r="B50" s="130" t="s">
        <v>271</v>
      </c>
    </row>
  </sheetData>
  <sheetProtection/>
  <mergeCells count="20">
    <mergeCell ref="A6:AB6"/>
    <mergeCell ref="T10:U10"/>
    <mergeCell ref="W10:X10"/>
    <mergeCell ref="A7:AA7"/>
    <mergeCell ref="C8:F8"/>
    <mergeCell ref="H8:K8"/>
    <mergeCell ref="M8:P8"/>
    <mergeCell ref="R8:U8"/>
    <mergeCell ref="W8:Z8"/>
    <mergeCell ref="Y10:Z10"/>
    <mergeCell ref="AB10:AC10"/>
    <mergeCell ref="AD10:AE10"/>
    <mergeCell ref="AB8:AE8"/>
    <mergeCell ref="C10:D10"/>
    <mergeCell ref="E10:F10"/>
    <mergeCell ref="H10:I10"/>
    <mergeCell ref="J10:K10"/>
    <mergeCell ref="M10:N10"/>
    <mergeCell ref="O10:P10"/>
    <mergeCell ref="R10:S10"/>
  </mergeCells>
  <printOptions/>
  <pageMargins left="0.75" right="0.75" top="1" bottom="1" header="0.5" footer="0.5"/>
  <pageSetup fitToHeight="4" fitToWidth="1" horizontalDpi="600" verticalDpi="600" orientation="landscape" scale="41" r:id="rId1"/>
  <headerFooter alignWithMargins="0">
    <oddFooter>&amp;L&amp;F&amp;R&amp;"Arial,Italic"&amp;A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E52"/>
  <sheetViews>
    <sheetView zoomScale="85" zoomScaleNormal="85" zoomScaleSheetLayoutView="85" zoomScalePageLayoutView="0" workbookViewId="0" topLeftCell="A4">
      <selection activeCell="B52" sqref="B52"/>
    </sheetView>
  </sheetViews>
  <sheetFormatPr defaultColWidth="9.140625" defaultRowHeight="12.75"/>
  <cols>
    <col min="1" max="1" width="11.8515625" style="139" bestFit="1" customWidth="1"/>
    <col min="2" max="2" width="26.28125" style="130" bestFit="1" customWidth="1"/>
    <col min="3" max="3" width="9.140625" style="419" customWidth="1"/>
    <col min="4" max="4" width="13.421875" style="128" bestFit="1" customWidth="1"/>
    <col min="5" max="5" width="9.00390625" style="420" bestFit="1" customWidth="1"/>
    <col min="6" max="6" width="10.7109375" style="420" customWidth="1"/>
    <col min="7" max="7" width="2.7109375" style="420" customWidth="1"/>
    <col min="8" max="8" width="9.140625" style="419" customWidth="1"/>
    <col min="9" max="9" width="13.421875" style="128" bestFit="1" customWidth="1"/>
    <col min="10" max="11" width="9.140625" style="420" customWidth="1"/>
    <col min="12" max="12" width="2.7109375" style="420" customWidth="1"/>
    <col min="13" max="13" width="9.140625" style="419" customWidth="1"/>
    <col min="14" max="14" width="13.421875" style="128" bestFit="1" customWidth="1"/>
    <col min="15" max="16" width="9.140625" style="420" customWidth="1"/>
    <col min="17" max="17" width="2.7109375" style="420" customWidth="1"/>
    <col min="18" max="18" width="9.140625" style="419" customWidth="1"/>
    <col min="19" max="19" width="13.421875" style="128" bestFit="1" customWidth="1"/>
    <col min="20" max="21" width="9.140625" style="420" customWidth="1"/>
    <col min="22" max="22" width="2.7109375" style="420" customWidth="1"/>
    <col min="23" max="23" width="9.140625" style="419" customWidth="1"/>
    <col min="24" max="24" width="13.421875" style="128" bestFit="1" customWidth="1"/>
    <col min="25" max="26" width="9.140625" style="420" customWidth="1"/>
    <col min="27" max="27" width="2.7109375" style="420" customWidth="1"/>
    <col min="28" max="28" width="9.140625" style="419" customWidth="1"/>
    <col min="29" max="29" width="15.00390625" style="420" bestFit="1" customWidth="1"/>
    <col min="30" max="30" width="9.140625" style="420" customWidth="1"/>
    <col min="31" max="31" width="10.00390625" style="420" bestFit="1" customWidth="1"/>
    <col min="32" max="16384" width="9.140625" style="421" customWidth="1"/>
  </cols>
  <sheetData>
    <row r="1" spans="1:31" s="186" customFormat="1" ht="21.75" customHeight="1">
      <c r="A1" s="1"/>
      <c r="B1" s="416"/>
      <c r="C1" s="417"/>
      <c r="D1" s="417"/>
      <c r="E1" s="418"/>
      <c r="F1" s="418"/>
      <c r="G1" s="418"/>
      <c r="H1" s="417"/>
      <c r="I1" s="417"/>
      <c r="J1" s="418"/>
      <c r="K1" s="418"/>
      <c r="L1" s="119"/>
      <c r="M1" s="167"/>
      <c r="N1" s="167"/>
      <c r="O1" s="119"/>
      <c r="P1" s="119" t="s">
        <v>222</v>
      </c>
      <c r="Q1" s="119"/>
      <c r="R1" s="167"/>
      <c r="S1" s="167"/>
      <c r="T1" s="119"/>
      <c r="U1" s="119"/>
      <c r="V1" s="119"/>
      <c r="W1" s="417"/>
      <c r="X1" s="417"/>
      <c r="Y1" s="418"/>
      <c r="Z1" s="418"/>
      <c r="AA1" s="418"/>
      <c r="AB1" s="417"/>
      <c r="AC1" s="417"/>
      <c r="AD1" s="418"/>
      <c r="AE1" s="195"/>
    </row>
    <row r="2" spans="1:31" s="186" customFormat="1" ht="18">
      <c r="A2" s="1"/>
      <c r="B2" s="416"/>
      <c r="C2" s="417"/>
      <c r="D2" s="417"/>
      <c r="E2" s="418"/>
      <c r="F2" s="418"/>
      <c r="G2" s="418"/>
      <c r="H2" s="417"/>
      <c r="I2" s="417"/>
      <c r="J2" s="418"/>
      <c r="K2" s="418"/>
      <c r="L2" s="120"/>
      <c r="M2" s="168"/>
      <c r="N2" s="168"/>
      <c r="O2" s="120"/>
      <c r="P2" s="120" t="s">
        <v>80</v>
      </c>
      <c r="Q2" s="120"/>
      <c r="R2" s="168"/>
      <c r="S2" s="168"/>
      <c r="T2" s="120"/>
      <c r="U2" s="120"/>
      <c r="V2" s="120"/>
      <c r="W2" s="417"/>
      <c r="X2" s="417"/>
      <c r="Y2" s="418"/>
      <c r="Z2" s="418"/>
      <c r="AA2" s="418"/>
      <c r="AB2" s="417"/>
      <c r="AC2" s="417"/>
      <c r="AD2" s="418"/>
      <c r="AE2" s="195"/>
    </row>
    <row r="3" spans="1:31" s="186" customFormat="1" ht="15.75">
      <c r="A3" s="1"/>
      <c r="B3" s="416"/>
      <c r="C3" s="417"/>
      <c r="D3" s="417"/>
      <c r="E3" s="418"/>
      <c r="F3" s="418"/>
      <c r="G3" s="418"/>
      <c r="H3" s="417"/>
      <c r="I3" s="417"/>
      <c r="J3" s="418"/>
      <c r="K3" s="418"/>
      <c r="L3" s="121"/>
      <c r="M3" s="169"/>
      <c r="N3" s="169"/>
      <c r="O3" s="121"/>
      <c r="P3" s="121" t="s">
        <v>1</v>
      </c>
      <c r="Q3" s="121"/>
      <c r="R3" s="169"/>
      <c r="S3" s="169"/>
      <c r="T3" s="121"/>
      <c r="U3" s="121"/>
      <c r="V3" s="121"/>
      <c r="W3" s="417"/>
      <c r="X3" s="417"/>
      <c r="Y3" s="418"/>
      <c r="Z3" s="418"/>
      <c r="AA3" s="418"/>
      <c r="AB3" s="417"/>
      <c r="AC3" s="417"/>
      <c r="AD3" s="418"/>
      <c r="AE3" s="195"/>
    </row>
    <row r="4" spans="1:31" s="186" customFormat="1" ht="14.25" customHeight="1">
      <c r="A4" s="1"/>
      <c r="B4" s="416"/>
      <c r="C4" s="417"/>
      <c r="D4" s="417"/>
      <c r="E4" s="418"/>
      <c r="F4" s="418"/>
      <c r="G4" s="418"/>
      <c r="H4" s="417"/>
      <c r="I4" s="417"/>
      <c r="J4" s="418"/>
      <c r="K4" s="418"/>
      <c r="L4" s="129"/>
      <c r="M4" s="203"/>
      <c r="N4" s="203"/>
      <c r="O4" s="129"/>
      <c r="P4" s="129" t="s">
        <v>234</v>
      </c>
      <c r="Q4" s="129"/>
      <c r="R4" s="203"/>
      <c r="S4" s="203"/>
      <c r="T4" s="129"/>
      <c r="U4" s="129"/>
      <c r="V4" s="129"/>
      <c r="W4" s="417"/>
      <c r="X4" s="417"/>
      <c r="Y4" s="418"/>
      <c r="Z4" s="418"/>
      <c r="AA4" s="418"/>
      <c r="AB4" s="417"/>
      <c r="AC4" s="417"/>
      <c r="AD4" s="418"/>
      <c r="AE4" s="195"/>
    </row>
    <row r="5" spans="1:31" s="186" customFormat="1" ht="15.75">
      <c r="A5" s="1"/>
      <c r="B5" s="416"/>
      <c r="C5" s="417"/>
      <c r="D5" s="417"/>
      <c r="E5" s="418"/>
      <c r="F5" s="418"/>
      <c r="G5" s="418"/>
      <c r="H5" s="417"/>
      <c r="I5" s="417"/>
      <c r="J5" s="418"/>
      <c r="K5" s="418"/>
      <c r="L5" s="122"/>
      <c r="M5" s="171"/>
      <c r="N5" s="171"/>
      <c r="O5" s="122"/>
      <c r="P5" s="122" t="s">
        <v>233</v>
      </c>
      <c r="Q5" s="122"/>
      <c r="R5" s="171"/>
      <c r="S5" s="171"/>
      <c r="T5" s="122"/>
      <c r="U5" s="122"/>
      <c r="V5" s="122"/>
      <c r="W5" s="417"/>
      <c r="X5" s="417"/>
      <c r="Y5" s="418"/>
      <c r="Z5" s="418"/>
      <c r="AA5" s="418"/>
      <c r="AB5" s="417"/>
      <c r="AC5" s="417"/>
      <c r="AD5" s="418"/>
      <c r="AE5" s="195"/>
    </row>
    <row r="6" spans="1:28" ht="12.75">
      <c r="A6" s="679"/>
      <c r="B6" s="679"/>
      <c r="C6" s="679"/>
      <c r="D6" s="679"/>
      <c r="E6" s="679"/>
      <c r="F6" s="679"/>
      <c r="G6" s="679"/>
      <c r="H6" s="679"/>
      <c r="I6" s="679"/>
      <c r="J6" s="679"/>
      <c r="K6" s="679"/>
      <c r="L6" s="679"/>
      <c r="M6" s="679"/>
      <c r="N6" s="679"/>
      <c r="O6" s="679"/>
      <c r="P6" s="679"/>
      <c r="Q6" s="679"/>
      <c r="R6" s="679"/>
      <c r="S6" s="679"/>
      <c r="T6" s="679"/>
      <c r="U6" s="679"/>
      <c r="V6" s="679"/>
      <c r="W6" s="679"/>
      <c r="X6" s="679"/>
      <c r="Y6" s="679"/>
      <c r="Z6" s="679"/>
      <c r="AA6" s="679"/>
      <c r="AB6" s="679"/>
    </row>
    <row r="7" spans="1:27" ht="12.75">
      <c r="A7" s="678" t="s">
        <v>229</v>
      </c>
      <c r="B7" s="678"/>
      <c r="C7" s="678"/>
      <c r="D7" s="678"/>
      <c r="E7" s="678"/>
      <c r="F7" s="678"/>
      <c r="G7" s="678"/>
      <c r="H7" s="678"/>
      <c r="I7" s="678"/>
      <c r="J7" s="678"/>
      <c r="K7" s="678"/>
      <c r="L7" s="678"/>
      <c r="M7" s="678"/>
      <c r="N7" s="678"/>
      <c r="O7" s="678"/>
      <c r="P7" s="678"/>
      <c r="Q7" s="678"/>
      <c r="R7" s="678"/>
      <c r="S7" s="678"/>
      <c r="T7" s="678"/>
      <c r="U7" s="678"/>
      <c r="V7" s="678"/>
      <c r="W7" s="678"/>
      <c r="X7" s="678"/>
      <c r="Y7" s="678"/>
      <c r="Z7" s="678"/>
      <c r="AA7" s="678"/>
    </row>
    <row r="8" spans="3:31" ht="12.75">
      <c r="C8" s="678" t="s">
        <v>209</v>
      </c>
      <c r="D8" s="678"/>
      <c r="E8" s="678"/>
      <c r="F8" s="678"/>
      <c r="G8" s="126"/>
      <c r="H8" s="678" t="s">
        <v>210</v>
      </c>
      <c r="I8" s="678"/>
      <c r="J8" s="678"/>
      <c r="K8" s="678"/>
      <c r="M8" s="678" t="s">
        <v>211</v>
      </c>
      <c r="N8" s="678"/>
      <c r="O8" s="678"/>
      <c r="P8" s="678"/>
      <c r="R8" s="678" t="s">
        <v>212</v>
      </c>
      <c r="S8" s="678"/>
      <c r="T8" s="678"/>
      <c r="U8" s="678"/>
      <c r="W8" s="678" t="s">
        <v>213</v>
      </c>
      <c r="X8" s="678"/>
      <c r="Y8" s="678"/>
      <c r="Z8" s="678"/>
      <c r="AB8" s="678" t="s">
        <v>214</v>
      </c>
      <c r="AC8" s="678"/>
      <c r="AD8" s="678"/>
      <c r="AE8" s="678"/>
    </row>
    <row r="10" spans="3:31" ht="12.75">
      <c r="C10" s="680" t="s">
        <v>215</v>
      </c>
      <c r="D10" s="680"/>
      <c r="E10" s="680" t="s">
        <v>216</v>
      </c>
      <c r="F10" s="680"/>
      <c r="H10" s="680" t="s">
        <v>215</v>
      </c>
      <c r="I10" s="680"/>
      <c r="J10" s="680" t="s">
        <v>216</v>
      </c>
      <c r="K10" s="680"/>
      <c r="M10" s="680" t="s">
        <v>215</v>
      </c>
      <c r="N10" s="680"/>
      <c r="O10" s="680" t="s">
        <v>216</v>
      </c>
      <c r="P10" s="680"/>
      <c r="R10" s="680" t="s">
        <v>215</v>
      </c>
      <c r="S10" s="680"/>
      <c r="T10" s="680" t="s">
        <v>216</v>
      </c>
      <c r="U10" s="680"/>
      <c r="W10" s="680" t="s">
        <v>215</v>
      </c>
      <c r="X10" s="680"/>
      <c r="Y10" s="680" t="s">
        <v>216</v>
      </c>
      <c r="Z10" s="680"/>
      <c r="AB10" s="680" t="s">
        <v>215</v>
      </c>
      <c r="AC10" s="680"/>
      <c r="AD10" s="680" t="s">
        <v>216</v>
      </c>
      <c r="AE10" s="680"/>
    </row>
    <row r="11" spans="3:31" ht="12.75">
      <c r="C11" s="419" t="s">
        <v>258</v>
      </c>
      <c r="D11" s="128" t="s">
        <v>217</v>
      </c>
      <c r="E11" s="420" t="s">
        <v>258</v>
      </c>
      <c r="F11" s="420" t="s">
        <v>217</v>
      </c>
      <c r="H11" s="419" t="s">
        <v>258</v>
      </c>
      <c r="I11" s="128" t="s">
        <v>217</v>
      </c>
      <c r="J11" s="420" t="s">
        <v>258</v>
      </c>
      <c r="K11" s="420" t="s">
        <v>217</v>
      </c>
      <c r="M11" s="419" t="s">
        <v>258</v>
      </c>
      <c r="N11" s="128" t="s">
        <v>217</v>
      </c>
      <c r="O11" s="420" t="s">
        <v>258</v>
      </c>
      <c r="P11" s="420" t="s">
        <v>217</v>
      </c>
      <c r="R11" s="419" t="s">
        <v>258</v>
      </c>
      <c r="S11" s="128" t="s">
        <v>217</v>
      </c>
      <c r="T11" s="420" t="s">
        <v>258</v>
      </c>
      <c r="U11" s="420" t="s">
        <v>217</v>
      </c>
      <c r="W11" s="419" t="s">
        <v>258</v>
      </c>
      <c r="X11" s="128" t="s">
        <v>217</v>
      </c>
      <c r="Y11" s="420" t="s">
        <v>258</v>
      </c>
      <c r="Z11" s="420" t="s">
        <v>217</v>
      </c>
      <c r="AB11" s="419" t="s">
        <v>258</v>
      </c>
      <c r="AC11" s="128" t="s">
        <v>217</v>
      </c>
      <c r="AD11" s="420" t="s">
        <v>258</v>
      </c>
      <c r="AE11" s="420" t="s">
        <v>217</v>
      </c>
    </row>
    <row r="12" ht="12.75">
      <c r="AC12" s="128"/>
    </row>
    <row r="13" spans="1:31" ht="12.75">
      <c r="A13" s="139" t="s">
        <v>10</v>
      </c>
      <c r="B13" s="131"/>
      <c r="C13" s="422">
        <v>880</v>
      </c>
      <c r="D13" s="140">
        <v>230772023</v>
      </c>
      <c r="E13" s="423">
        <v>0.506398395518098</v>
      </c>
      <c r="F13" s="424">
        <v>0.4711734590642356</v>
      </c>
      <c r="G13" s="425"/>
      <c r="H13" s="422">
        <v>2155</v>
      </c>
      <c r="I13" s="140">
        <v>563828746</v>
      </c>
      <c r="J13" s="423">
        <v>0.6360544248306403</v>
      </c>
      <c r="K13" s="424">
        <v>0.5868619616511752</v>
      </c>
      <c r="M13" s="422">
        <v>3391</v>
      </c>
      <c r="N13" s="140">
        <v>706158459</v>
      </c>
      <c r="O13" s="423">
        <v>0.6282182755236134</v>
      </c>
      <c r="P13" s="424">
        <v>0.6435588631177485</v>
      </c>
      <c r="R13" s="422">
        <v>1973</v>
      </c>
      <c r="S13" s="140">
        <v>461487908</v>
      </c>
      <c r="T13" s="423">
        <v>0.6817900673629632</v>
      </c>
      <c r="U13" s="424">
        <v>0.6859955487165866</v>
      </c>
      <c r="W13" s="422">
        <v>1489</v>
      </c>
      <c r="X13" s="140">
        <v>609138461</v>
      </c>
      <c r="Y13" s="423">
        <v>0.7099158732049325</v>
      </c>
      <c r="Z13" s="424">
        <v>0.8697876520336745</v>
      </c>
      <c r="AB13" s="422">
        <v>9888</v>
      </c>
      <c r="AC13" s="140">
        <v>2571385597</v>
      </c>
      <c r="AD13" s="423">
        <v>0.6373217327630101</v>
      </c>
      <c r="AE13" s="424">
        <v>0.6558215533773374</v>
      </c>
    </row>
    <row r="14" spans="5:31" ht="12.75">
      <c r="E14" s="426"/>
      <c r="F14" s="426"/>
      <c r="J14" s="426"/>
      <c r="K14" s="426"/>
      <c r="O14" s="426"/>
      <c r="P14" s="426"/>
      <c r="T14" s="426"/>
      <c r="U14" s="426"/>
      <c r="Y14" s="426"/>
      <c r="Z14" s="426"/>
      <c r="AC14" s="128"/>
      <c r="AD14" s="426"/>
      <c r="AE14" s="426"/>
    </row>
    <row r="15" spans="1:31" ht="12.75">
      <c r="A15" s="112" t="s">
        <v>11</v>
      </c>
      <c r="B15" s="133" t="s">
        <v>16</v>
      </c>
      <c r="C15" s="427">
        <v>18</v>
      </c>
      <c r="D15" s="146">
        <v>5023448</v>
      </c>
      <c r="E15" s="428">
        <v>0.6481688868851672</v>
      </c>
      <c r="F15" s="429">
        <v>1.0058456471513535</v>
      </c>
      <c r="G15" s="425"/>
      <c r="H15" s="427">
        <v>18</v>
      </c>
      <c r="I15" s="146">
        <v>2425175</v>
      </c>
      <c r="J15" s="428">
        <v>0.5173673017541891</v>
      </c>
      <c r="K15" s="429">
        <v>0.4216303085585324</v>
      </c>
      <c r="M15" s="427">
        <v>55</v>
      </c>
      <c r="N15" s="146">
        <v>8538732</v>
      </c>
      <c r="O15" s="428">
        <v>0.5321610052153706</v>
      </c>
      <c r="P15" s="429">
        <v>0.5836928183821912</v>
      </c>
      <c r="R15" s="427">
        <v>18</v>
      </c>
      <c r="S15" s="146">
        <v>2477251</v>
      </c>
      <c r="T15" s="428">
        <v>0.5604025184489179</v>
      </c>
      <c r="U15" s="429">
        <v>0.5313279780020601</v>
      </c>
      <c r="W15" s="427">
        <v>9</v>
      </c>
      <c r="X15" s="146">
        <v>1300000</v>
      </c>
      <c r="Y15" s="428">
        <v>0.5385135947757018</v>
      </c>
      <c r="Z15" s="429">
        <v>0.4919924931297346</v>
      </c>
      <c r="AB15" s="427">
        <v>118</v>
      </c>
      <c r="AC15" s="146">
        <v>19764606</v>
      </c>
      <c r="AD15" s="428">
        <v>0.549484604395984</v>
      </c>
      <c r="AE15" s="429">
        <v>0.6047984586100773</v>
      </c>
    </row>
    <row r="16" spans="2:31" ht="12.75">
      <c r="B16" s="134" t="s">
        <v>17</v>
      </c>
      <c r="C16" s="430">
        <v>58</v>
      </c>
      <c r="D16" s="149">
        <v>11739262</v>
      </c>
      <c r="E16" s="431">
        <v>0.4801272039080373</v>
      </c>
      <c r="F16" s="432">
        <v>0.4741203974050057</v>
      </c>
      <c r="G16" s="425"/>
      <c r="H16" s="430">
        <v>76</v>
      </c>
      <c r="I16" s="149">
        <v>12438048</v>
      </c>
      <c r="J16" s="431">
        <v>0.5985043219493364</v>
      </c>
      <c r="K16" s="432">
        <v>0.5222052750040649</v>
      </c>
      <c r="M16" s="430">
        <v>193</v>
      </c>
      <c r="N16" s="149">
        <v>26746138</v>
      </c>
      <c r="O16" s="431">
        <v>0.6026479852868909</v>
      </c>
      <c r="P16" s="432">
        <v>0.5403999749387123</v>
      </c>
      <c r="R16" s="430">
        <v>82</v>
      </c>
      <c r="S16" s="149">
        <v>13610005</v>
      </c>
      <c r="T16" s="431">
        <v>0.7541997659957248</v>
      </c>
      <c r="U16" s="432">
        <v>0.7339304119552974</v>
      </c>
      <c r="W16" s="430">
        <v>41</v>
      </c>
      <c r="X16" s="149">
        <v>6738000</v>
      </c>
      <c r="Y16" s="431">
        <v>0.6150857737111427</v>
      </c>
      <c r="Z16" s="432">
        <v>0.6047263497763075</v>
      </c>
      <c r="AB16" s="430">
        <v>450</v>
      </c>
      <c r="AC16" s="149">
        <v>71271453</v>
      </c>
      <c r="AD16" s="431">
        <v>0.6053108358575656</v>
      </c>
      <c r="AE16" s="432">
        <v>0.5578635779939334</v>
      </c>
    </row>
    <row r="17" spans="2:31" ht="12.75">
      <c r="B17" s="134" t="s">
        <v>18</v>
      </c>
      <c r="C17" s="430">
        <v>121</v>
      </c>
      <c r="D17" s="149">
        <v>31616208</v>
      </c>
      <c r="E17" s="431">
        <v>0.5018063369265411</v>
      </c>
      <c r="F17" s="432">
        <v>0.5448769855676221</v>
      </c>
      <c r="G17" s="425"/>
      <c r="H17" s="430">
        <v>148</v>
      </c>
      <c r="I17" s="149">
        <v>30696623</v>
      </c>
      <c r="J17" s="431">
        <v>0.5639512098372914</v>
      </c>
      <c r="K17" s="432">
        <v>0.5435649666955203</v>
      </c>
      <c r="M17" s="430">
        <v>383</v>
      </c>
      <c r="N17" s="149">
        <v>72806314</v>
      </c>
      <c r="O17" s="431">
        <v>0.6679937242774425</v>
      </c>
      <c r="P17" s="432">
        <v>0.7252152676440043</v>
      </c>
      <c r="R17" s="430">
        <v>134</v>
      </c>
      <c r="S17" s="149">
        <v>24250798</v>
      </c>
      <c r="T17" s="431">
        <v>0.6297406488330696</v>
      </c>
      <c r="U17" s="432">
        <v>0.6065531505037712</v>
      </c>
      <c r="W17" s="430">
        <v>100</v>
      </c>
      <c r="X17" s="149">
        <v>18087852</v>
      </c>
      <c r="Y17" s="431">
        <v>0.679232928668996</v>
      </c>
      <c r="Z17" s="432">
        <v>0.6452929799201116</v>
      </c>
      <c r="AB17" s="430">
        <v>886</v>
      </c>
      <c r="AC17" s="149">
        <v>177457795</v>
      </c>
      <c r="AD17" s="431">
        <v>0.6165912370053015</v>
      </c>
      <c r="AE17" s="432">
        <v>0.6272771623997822</v>
      </c>
    </row>
    <row r="18" spans="2:31" ht="12.75">
      <c r="B18" s="134" t="s">
        <v>19</v>
      </c>
      <c r="C18" s="430">
        <v>136</v>
      </c>
      <c r="D18" s="149">
        <v>32167361</v>
      </c>
      <c r="E18" s="431">
        <v>0.500346821285602</v>
      </c>
      <c r="F18" s="432">
        <v>0.4679675248228433</v>
      </c>
      <c r="G18" s="425"/>
      <c r="H18" s="430">
        <v>249</v>
      </c>
      <c r="I18" s="149">
        <v>52028515</v>
      </c>
      <c r="J18" s="431">
        <v>0.6210902028757366</v>
      </c>
      <c r="K18" s="432">
        <v>0.6024650444814335</v>
      </c>
      <c r="M18" s="430">
        <v>459</v>
      </c>
      <c r="N18" s="149">
        <v>89471602</v>
      </c>
      <c r="O18" s="431">
        <v>0.6164410716179292</v>
      </c>
      <c r="P18" s="432">
        <v>0.6435924837296264</v>
      </c>
      <c r="R18" s="430">
        <v>193</v>
      </c>
      <c r="S18" s="149">
        <v>37507982</v>
      </c>
      <c r="T18" s="431">
        <v>0.6426357736222496</v>
      </c>
      <c r="U18" s="432">
        <v>0.6541899981488127</v>
      </c>
      <c r="W18" s="430">
        <v>122</v>
      </c>
      <c r="X18" s="149">
        <v>50114932</v>
      </c>
      <c r="Y18" s="431">
        <v>0.5868688574192381</v>
      </c>
      <c r="Z18" s="432">
        <v>1.1711931882494504</v>
      </c>
      <c r="AB18" s="430">
        <v>1159</v>
      </c>
      <c r="AC18" s="149">
        <v>261290392</v>
      </c>
      <c r="AD18" s="431">
        <v>0.6019138669358183</v>
      </c>
      <c r="AE18" s="432">
        <v>0.6627673389644368</v>
      </c>
    </row>
    <row r="19" spans="2:31" ht="12.75">
      <c r="B19" s="134" t="s">
        <v>104</v>
      </c>
      <c r="C19" s="430">
        <v>102</v>
      </c>
      <c r="D19" s="149">
        <v>28596179</v>
      </c>
      <c r="E19" s="431">
        <v>0.44617414203008965</v>
      </c>
      <c r="F19" s="432">
        <v>0.4872768792949873</v>
      </c>
      <c r="G19" s="425"/>
      <c r="H19" s="430">
        <v>242</v>
      </c>
      <c r="I19" s="149">
        <v>43602240</v>
      </c>
      <c r="J19" s="431">
        <v>0.5343565894006178</v>
      </c>
      <c r="K19" s="432">
        <v>0.4370196874383908</v>
      </c>
      <c r="M19" s="430">
        <v>444</v>
      </c>
      <c r="N19" s="149">
        <v>83441426</v>
      </c>
      <c r="O19" s="431">
        <v>0.5769462117464763</v>
      </c>
      <c r="P19" s="432">
        <v>0.5603734449706409</v>
      </c>
      <c r="R19" s="430">
        <v>209</v>
      </c>
      <c r="S19" s="149">
        <v>40163463</v>
      </c>
      <c r="T19" s="431">
        <v>0.6086119404945272</v>
      </c>
      <c r="U19" s="432">
        <v>0.6100975688248027</v>
      </c>
      <c r="W19" s="430">
        <v>129</v>
      </c>
      <c r="X19" s="149">
        <v>27971198</v>
      </c>
      <c r="Y19" s="431">
        <v>0.5716221759981294</v>
      </c>
      <c r="Z19" s="432">
        <v>0.5586968087650229</v>
      </c>
      <c r="AB19" s="430">
        <v>1126</v>
      </c>
      <c r="AC19" s="149">
        <v>223774506</v>
      </c>
      <c r="AD19" s="431">
        <v>0.5573875422121579</v>
      </c>
      <c r="AE19" s="432">
        <v>0.5286964986845512</v>
      </c>
    </row>
    <row r="20" spans="2:31" ht="12.75">
      <c r="B20" s="134" t="s">
        <v>105</v>
      </c>
      <c r="C20" s="430">
        <v>59</v>
      </c>
      <c r="D20" s="149">
        <v>14343600</v>
      </c>
      <c r="E20" s="431">
        <v>0.32371430007371865</v>
      </c>
      <c r="F20" s="432">
        <v>0.3025151119333828</v>
      </c>
      <c r="G20" s="425"/>
      <c r="H20" s="430">
        <v>246</v>
      </c>
      <c r="I20" s="149">
        <v>64194547</v>
      </c>
      <c r="J20" s="431">
        <v>0.556318583933104</v>
      </c>
      <c r="K20" s="432">
        <v>0.6383544387827115</v>
      </c>
      <c r="M20" s="430">
        <v>383</v>
      </c>
      <c r="N20" s="149">
        <v>72911204</v>
      </c>
      <c r="O20" s="431">
        <v>0.5384066402323431</v>
      </c>
      <c r="P20" s="432">
        <v>0.5280916152076693</v>
      </c>
      <c r="R20" s="430">
        <v>198</v>
      </c>
      <c r="S20" s="149">
        <v>34492085</v>
      </c>
      <c r="T20" s="431">
        <v>0.5729435399733255</v>
      </c>
      <c r="U20" s="432">
        <v>0.5120986983427517</v>
      </c>
      <c r="W20" s="430">
        <v>121</v>
      </c>
      <c r="X20" s="149">
        <v>55703725</v>
      </c>
      <c r="Y20" s="431">
        <v>0.52953906775129</v>
      </c>
      <c r="Z20" s="432">
        <v>1.0329820428633032</v>
      </c>
      <c r="AB20" s="430">
        <v>1007</v>
      </c>
      <c r="AC20" s="149">
        <v>241645161</v>
      </c>
      <c r="AD20" s="431">
        <v>0.5272541740374969</v>
      </c>
      <c r="AE20" s="432">
        <v>0.5932533790699277</v>
      </c>
    </row>
    <row r="21" spans="2:31" ht="12.75">
      <c r="B21" s="134" t="s">
        <v>106</v>
      </c>
      <c r="C21" s="430">
        <v>58</v>
      </c>
      <c r="D21" s="149">
        <v>9946759</v>
      </c>
      <c r="E21" s="431">
        <v>0.42036357100303046</v>
      </c>
      <c r="F21" s="432">
        <v>0.2648837109837177</v>
      </c>
      <c r="G21" s="425"/>
      <c r="H21" s="430">
        <v>208</v>
      </c>
      <c r="I21" s="149">
        <v>39160773</v>
      </c>
      <c r="J21" s="431">
        <v>0.571841365486802</v>
      </c>
      <c r="K21" s="432">
        <v>0.45657077980963057</v>
      </c>
      <c r="M21" s="430">
        <v>304</v>
      </c>
      <c r="N21" s="149">
        <v>66189576</v>
      </c>
      <c r="O21" s="431">
        <v>0.553973057411017</v>
      </c>
      <c r="P21" s="432">
        <v>0.6175517276257413</v>
      </c>
      <c r="R21" s="430">
        <v>161</v>
      </c>
      <c r="S21" s="149">
        <v>27482671</v>
      </c>
      <c r="T21" s="431">
        <v>0.5659555253868805</v>
      </c>
      <c r="U21" s="432">
        <v>0.48829706050366806</v>
      </c>
      <c r="W21" s="430">
        <v>120</v>
      </c>
      <c r="X21" s="149">
        <v>25305083</v>
      </c>
      <c r="Y21" s="431">
        <v>0.5840835480894951</v>
      </c>
      <c r="Z21" s="432">
        <v>0.47537148467618334</v>
      </c>
      <c r="AB21" s="430">
        <v>851</v>
      </c>
      <c r="AC21" s="149">
        <v>168084862</v>
      </c>
      <c r="AD21" s="431">
        <v>0.552453585297149</v>
      </c>
      <c r="AE21" s="432">
        <v>0.49434037408261194</v>
      </c>
    </row>
    <row r="22" spans="2:31" ht="12.75">
      <c r="B22" s="134" t="s">
        <v>107</v>
      </c>
      <c r="C22" s="430">
        <v>59</v>
      </c>
      <c r="D22" s="149">
        <v>13185999</v>
      </c>
      <c r="E22" s="431">
        <v>0.5352167641502021</v>
      </c>
      <c r="F22" s="432">
        <v>0.39949124495854615</v>
      </c>
      <c r="G22" s="425"/>
      <c r="H22" s="430">
        <v>175</v>
      </c>
      <c r="I22" s="149">
        <v>36758306</v>
      </c>
      <c r="J22" s="431">
        <v>0.597511524973007</v>
      </c>
      <c r="K22" s="432">
        <v>0.4996171175745295</v>
      </c>
      <c r="M22" s="430">
        <v>226</v>
      </c>
      <c r="N22" s="149">
        <v>42143665</v>
      </c>
      <c r="O22" s="431">
        <v>0.5352676611860832</v>
      </c>
      <c r="P22" s="432">
        <v>0.4974989235790867</v>
      </c>
      <c r="R22" s="430">
        <v>157</v>
      </c>
      <c r="S22" s="149">
        <v>32471332</v>
      </c>
      <c r="T22" s="431">
        <v>0.6814070787084598</v>
      </c>
      <c r="U22" s="432">
        <v>0.6673574617945909</v>
      </c>
      <c r="W22" s="430">
        <v>111</v>
      </c>
      <c r="X22" s="149">
        <v>33889128</v>
      </c>
      <c r="Y22" s="431">
        <v>0.6012870142264467</v>
      </c>
      <c r="Z22" s="432">
        <v>0.6244969515439817</v>
      </c>
      <c r="AB22" s="430">
        <v>728</v>
      </c>
      <c r="AC22" s="149">
        <v>158448430</v>
      </c>
      <c r="AD22" s="431">
        <v>0.586933299069734</v>
      </c>
      <c r="AE22" s="432">
        <v>0.5385484882644346</v>
      </c>
    </row>
    <row r="23" spans="2:31" ht="12.75">
      <c r="B23" s="134" t="s">
        <v>108</v>
      </c>
      <c r="C23" s="430">
        <v>64</v>
      </c>
      <c r="D23" s="149">
        <v>13437601</v>
      </c>
      <c r="E23" s="431">
        <v>0.5892107954097162</v>
      </c>
      <c r="F23" s="432">
        <v>0.3759298461672068</v>
      </c>
      <c r="G23" s="425"/>
      <c r="H23" s="430">
        <v>183</v>
      </c>
      <c r="I23" s="149">
        <v>49549834</v>
      </c>
      <c r="J23" s="431">
        <v>0.6608113007832117</v>
      </c>
      <c r="K23" s="432">
        <v>0.6547990956722425</v>
      </c>
      <c r="M23" s="430">
        <v>230</v>
      </c>
      <c r="N23" s="149">
        <v>50787186</v>
      </c>
      <c r="O23" s="431">
        <v>0.6390845907924719</v>
      </c>
      <c r="P23" s="432">
        <v>0.6869064572008012</v>
      </c>
      <c r="R23" s="430">
        <v>142</v>
      </c>
      <c r="S23" s="149">
        <v>34936909</v>
      </c>
      <c r="T23" s="431">
        <v>0.6422571848338844</v>
      </c>
      <c r="U23" s="432">
        <v>0.6537610950449027</v>
      </c>
      <c r="W23" s="430">
        <v>131</v>
      </c>
      <c r="X23" s="149">
        <v>44408606</v>
      </c>
      <c r="Y23" s="431">
        <v>0.7487095761840905</v>
      </c>
      <c r="Z23" s="432">
        <v>0.7714829961584871</v>
      </c>
      <c r="AB23" s="430">
        <v>750</v>
      </c>
      <c r="AC23" s="149">
        <v>193120136</v>
      </c>
      <c r="AD23" s="431">
        <v>0.6570274145477102</v>
      </c>
      <c r="AE23" s="432">
        <v>0.6516504580196208</v>
      </c>
    </row>
    <row r="24" spans="2:31" ht="12.75">
      <c r="B24" s="134" t="s">
        <v>109</v>
      </c>
      <c r="C24" s="430">
        <v>79</v>
      </c>
      <c r="D24" s="149">
        <v>22120807</v>
      </c>
      <c r="E24" s="431">
        <v>0.6779405607460928</v>
      </c>
      <c r="F24" s="432">
        <v>0.5591798816906323</v>
      </c>
      <c r="G24" s="425"/>
      <c r="H24" s="430">
        <v>218</v>
      </c>
      <c r="I24" s="149">
        <v>61128151</v>
      </c>
      <c r="J24" s="431">
        <v>0.8514020639235758</v>
      </c>
      <c r="K24" s="432">
        <v>0.675867305548543</v>
      </c>
      <c r="M24" s="430">
        <v>269</v>
      </c>
      <c r="N24" s="149">
        <v>56651801</v>
      </c>
      <c r="O24" s="431">
        <v>0.8309289421076017</v>
      </c>
      <c r="P24" s="432">
        <v>0.7756194308861493</v>
      </c>
      <c r="R24" s="430">
        <v>191</v>
      </c>
      <c r="S24" s="149">
        <v>52695112</v>
      </c>
      <c r="T24" s="431">
        <v>0.77769689096734</v>
      </c>
      <c r="U24" s="432">
        <v>0.7823936309778468</v>
      </c>
      <c r="W24" s="430">
        <v>166</v>
      </c>
      <c r="X24" s="149">
        <v>60454449</v>
      </c>
      <c r="Y24" s="431">
        <v>0.9026702835831084</v>
      </c>
      <c r="Z24" s="432">
        <v>0.7710118240767903</v>
      </c>
      <c r="AB24" s="430">
        <v>923</v>
      </c>
      <c r="AC24" s="149">
        <v>253050320</v>
      </c>
      <c r="AD24" s="431">
        <v>0.8198559846129315</v>
      </c>
      <c r="AE24" s="432">
        <v>0.725478951447727</v>
      </c>
    </row>
    <row r="25" spans="2:31" ht="12.75">
      <c r="B25" s="134" t="s">
        <v>110</v>
      </c>
      <c r="C25" s="430">
        <v>51</v>
      </c>
      <c r="D25" s="149">
        <v>19428633</v>
      </c>
      <c r="E25" s="431">
        <v>0.5823768649762651</v>
      </c>
      <c r="F25" s="432">
        <v>0.6163978271072871</v>
      </c>
      <c r="G25" s="425"/>
      <c r="H25" s="430">
        <v>200</v>
      </c>
      <c r="I25" s="149">
        <v>55406816</v>
      </c>
      <c r="J25" s="431">
        <v>0.9020023188675629</v>
      </c>
      <c r="K25" s="432">
        <v>0.650339263968963</v>
      </c>
      <c r="M25" s="430">
        <v>229</v>
      </c>
      <c r="N25" s="149">
        <v>74248531</v>
      </c>
      <c r="O25" s="431">
        <v>0.8640321960280057</v>
      </c>
      <c r="P25" s="432">
        <v>1.1468852660308892</v>
      </c>
      <c r="R25" s="430">
        <v>221</v>
      </c>
      <c r="S25" s="149">
        <v>65361434</v>
      </c>
      <c r="T25" s="431">
        <v>0.9107645278893437</v>
      </c>
      <c r="U25" s="432">
        <v>0.8747353380269781</v>
      </c>
      <c r="W25" s="430">
        <v>174</v>
      </c>
      <c r="X25" s="149">
        <v>110964983</v>
      </c>
      <c r="Y25" s="431">
        <v>0.9540400525752839</v>
      </c>
      <c r="Z25" s="432">
        <v>1.293176105752802</v>
      </c>
      <c r="AB25" s="430">
        <v>875</v>
      </c>
      <c r="AC25" s="149">
        <v>325410397</v>
      </c>
      <c r="AD25" s="431">
        <v>0.8755489166378023</v>
      </c>
      <c r="AE25" s="432">
        <v>0.9515336068033909</v>
      </c>
    </row>
    <row r="26" spans="2:31" ht="12.75">
      <c r="B26" s="134" t="s">
        <v>111</v>
      </c>
      <c r="C26" s="430">
        <v>47</v>
      </c>
      <c r="D26" s="149">
        <v>16483284</v>
      </c>
      <c r="E26" s="431">
        <v>0.8083297173477346</v>
      </c>
      <c r="F26" s="432">
        <v>0.7028678097335025</v>
      </c>
      <c r="G26" s="425"/>
      <c r="H26" s="430">
        <v>118</v>
      </c>
      <c r="I26" s="149">
        <v>52325871</v>
      </c>
      <c r="J26" s="431">
        <v>0.8061216054936504</v>
      </c>
      <c r="K26" s="432">
        <v>0.621963117438367</v>
      </c>
      <c r="M26" s="430">
        <v>139</v>
      </c>
      <c r="N26" s="149">
        <v>36462036</v>
      </c>
      <c r="O26" s="431">
        <v>0.8156577176300949</v>
      </c>
      <c r="P26" s="432">
        <v>0.6663977199694983</v>
      </c>
      <c r="R26" s="430">
        <v>154</v>
      </c>
      <c r="S26" s="149">
        <v>57318162</v>
      </c>
      <c r="T26" s="431">
        <v>0.7431589922551743</v>
      </c>
      <c r="U26" s="432">
        <v>0.8166577246792784</v>
      </c>
      <c r="W26" s="430">
        <v>149</v>
      </c>
      <c r="X26" s="149">
        <v>104523838</v>
      </c>
      <c r="Y26" s="431">
        <v>1.0321052619912616</v>
      </c>
      <c r="Z26" s="432">
        <v>1.1783036849213002</v>
      </c>
      <c r="AB26" s="430">
        <v>607</v>
      </c>
      <c r="AC26" s="149">
        <v>267113191</v>
      </c>
      <c r="AD26" s="431">
        <v>0.8354808540546806</v>
      </c>
      <c r="AE26" s="432">
        <v>0.8316358182130617</v>
      </c>
    </row>
    <row r="27" spans="2:31" ht="12.75">
      <c r="B27" s="134" t="s">
        <v>112</v>
      </c>
      <c r="C27" s="430">
        <v>23</v>
      </c>
      <c r="D27" s="149">
        <v>10393980</v>
      </c>
      <c r="E27" s="431">
        <v>0.5855252556135963</v>
      </c>
      <c r="F27" s="432">
        <v>0.45299446722428083</v>
      </c>
      <c r="G27" s="425"/>
      <c r="H27" s="430">
        <v>58</v>
      </c>
      <c r="I27" s="149">
        <v>51375577</v>
      </c>
      <c r="J27" s="431">
        <v>0.7167723493943893</v>
      </c>
      <c r="K27" s="432">
        <v>0.8112722214772794</v>
      </c>
      <c r="M27" s="430">
        <v>71</v>
      </c>
      <c r="N27" s="149">
        <v>22860248</v>
      </c>
      <c r="O27" s="431">
        <v>0.968023986270967</v>
      </c>
      <c r="P27" s="432">
        <v>0.5847531898337505</v>
      </c>
      <c r="R27" s="430">
        <v>92</v>
      </c>
      <c r="S27" s="149">
        <v>31461049</v>
      </c>
      <c r="T27" s="431">
        <v>0.9183044426770411</v>
      </c>
      <c r="U27" s="432">
        <v>0.7794234860514748</v>
      </c>
      <c r="W27" s="430">
        <v>94</v>
      </c>
      <c r="X27" s="149">
        <v>57907567</v>
      </c>
      <c r="Y27" s="431">
        <v>0.8970598957349195</v>
      </c>
      <c r="Z27" s="432">
        <v>0.7593799050199508</v>
      </c>
      <c r="AB27" s="430">
        <v>338</v>
      </c>
      <c r="AC27" s="149">
        <v>173998421</v>
      </c>
      <c r="AD27" s="431">
        <v>0.8481467091054543</v>
      </c>
      <c r="AE27" s="432">
        <v>0.719040481280767</v>
      </c>
    </row>
    <row r="28" spans="2:31" ht="12.75">
      <c r="B28" s="134" t="s">
        <v>113</v>
      </c>
      <c r="C28" s="430">
        <v>5</v>
      </c>
      <c r="D28" s="149">
        <v>2288902</v>
      </c>
      <c r="E28" s="431">
        <v>0.7120721870300327</v>
      </c>
      <c r="F28" s="432">
        <v>0.6761680015700617</v>
      </c>
      <c r="G28" s="425"/>
      <c r="H28" s="430">
        <v>14</v>
      </c>
      <c r="I28" s="149">
        <v>12068516</v>
      </c>
      <c r="J28" s="431">
        <v>0.5210269739386029</v>
      </c>
      <c r="K28" s="432">
        <v>0.42490857319967024</v>
      </c>
      <c r="M28" s="430">
        <v>6</v>
      </c>
      <c r="N28" s="149">
        <v>2900000</v>
      </c>
      <c r="O28" s="431">
        <v>0.5051261889407676</v>
      </c>
      <c r="P28" s="432">
        <v>0.31036516949586074</v>
      </c>
      <c r="R28" s="430">
        <v>19</v>
      </c>
      <c r="S28" s="149">
        <v>6934655</v>
      </c>
      <c r="T28" s="431">
        <v>1.1012590288750133</v>
      </c>
      <c r="U28" s="432">
        <v>0.9111217795818011</v>
      </c>
      <c r="W28" s="430">
        <v>21</v>
      </c>
      <c r="X28" s="149">
        <v>11269100</v>
      </c>
      <c r="Y28" s="431">
        <v>0.8777576218620163</v>
      </c>
      <c r="Z28" s="432">
        <v>0.6511879574429813</v>
      </c>
      <c r="AB28" s="430">
        <v>65</v>
      </c>
      <c r="AC28" s="149">
        <v>35461173</v>
      </c>
      <c r="AD28" s="431">
        <v>0.7475769593100744</v>
      </c>
      <c r="AE28" s="432">
        <v>0.5368990088170724</v>
      </c>
    </row>
    <row r="29" spans="2:31" ht="12.75">
      <c r="B29" s="135" t="s">
        <v>114</v>
      </c>
      <c r="C29" s="433"/>
      <c r="D29" s="152"/>
      <c r="E29" s="434"/>
      <c r="F29" s="435"/>
      <c r="G29" s="425"/>
      <c r="H29" s="433">
        <v>2</v>
      </c>
      <c r="I29" s="152">
        <v>669754</v>
      </c>
      <c r="J29" s="434">
        <v>0.8375069094320031</v>
      </c>
      <c r="K29" s="435">
        <v>0.4470648199166719</v>
      </c>
      <c r="M29" s="433">
        <v>0</v>
      </c>
      <c r="N29" s="152">
        <v>0</v>
      </c>
      <c r="O29" s="434">
        <v>0</v>
      </c>
      <c r="P29" s="435">
        <v>0</v>
      </c>
      <c r="R29" s="433">
        <v>2</v>
      </c>
      <c r="S29" s="152">
        <v>325000</v>
      </c>
      <c r="T29" s="434">
        <v>0.9892468863454252</v>
      </c>
      <c r="U29" s="435">
        <v>0.8016650431394312</v>
      </c>
      <c r="W29" s="433">
        <v>1</v>
      </c>
      <c r="X29" s="152">
        <v>500000</v>
      </c>
      <c r="Y29" s="434">
        <v>2.4983760555638836</v>
      </c>
      <c r="Z29" s="435">
        <v>2.6618701895347403</v>
      </c>
      <c r="AB29" s="433">
        <v>5</v>
      </c>
      <c r="AC29" s="152">
        <v>1494754</v>
      </c>
      <c r="AD29" s="434">
        <v>1.0315659170621003</v>
      </c>
      <c r="AE29" s="435">
        <v>0.7120296748104431</v>
      </c>
    </row>
    <row r="30" spans="5:31" ht="12.75">
      <c r="E30" s="426"/>
      <c r="F30" s="426"/>
      <c r="J30" s="426"/>
      <c r="K30" s="426"/>
      <c r="O30" s="426"/>
      <c r="P30" s="426"/>
      <c r="T30" s="426"/>
      <c r="U30" s="426"/>
      <c r="Y30" s="426"/>
      <c r="Z30" s="426"/>
      <c r="AC30" s="128"/>
      <c r="AD30" s="426"/>
      <c r="AE30" s="426"/>
    </row>
    <row r="31" spans="1:31" ht="12.75">
      <c r="A31" s="139" t="s">
        <v>28</v>
      </c>
      <c r="B31" s="133" t="s">
        <v>115</v>
      </c>
      <c r="C31" s="427">
        <v>22</v>
      </c>
      <c r="D31" s="146">
        <v>8722000</v>
      </c>
      <c r="E31" s="428">
        <v>0.4567635891320172</v>
      </c>
      <c r="F31" s="429">
        <v>0.41561302830613145</v>
      </c>
      <c r="G31" s="425"/>
      <c r="H31" s="427">
        <v>56</v>
      </c>
      <c r="I31" s="146">
        <v>25997850</v>
      </c>
      <c r="J31" s="428">
        <v>0.5345641035431581</v>
      </c>
      <c r="K31" s="429">
        <v>0.4543980184279452</v>
      </c>
      <c r="M31" s="427">
        <v>63</v>
      </c>
      <c r="N31" s="146">
        <v>17539976</v>
      </c>
      <c r="O31" s="428">
        <v>0.4235165710269873</v>
      </c>
      <c r="P31" s="429">
        <v>0.26131104107204356</v>
      </c>
      <c r="R31" s="427">
        <v>24</v>
      </c>
      <c r="S31" s="146">
        <v>5967159</v>
      </c>
      <c r="T31" s="428">
        <v>0.38112582345013135</v>
      </c>
      <c r="U31" s="429">
        <v>0.2395041922993798</v>
      </c>
      <c r="W31" s="427">
        <v>27</v>
      </c>
      <c r="X31" s="146">
        <v>53889851</v>
      </c>
      <c r="Y31" s="428">
        <v>0.6409224725934427</v>
      </c>
      <c r="Z31" s="429">
        <v>2.1292707479897524</v>
      </c>
      <c r="AB31" s="427">
        <v>192</v>
      </c>
      <c r="AC31" s="146">
        <v>112116836</v>
      </c>
      <c r="AD31" s="428">
        <v>0.47200444529852326</v>
      </c>
      <c r="AE31" s="429">
        <v>0.5733516498477765</v>
      </c>
    </row>
    <row r="32" spans="2:31" ht="12.75">
      <c r="B32" s="134" t="s">
        <v>116</v>
      </c>
      <c r="C32" s="430">
        <v>36</v>
      </c>
      <c r="D32" s="149">
        <v>15380363</v>
      </c>
      <c r="E32" s="431">
        <v>0.509862944591635</v>
      </c>
      <c r="F32" s="432">
        <v>0.47542379907642607</v>
      </c>
      <c r="G32" s="425"/>
      <c r="H32" s="430">
        <v>78</v>
      </c>
      <c r="I32" s="149">
        <v>24115956</v>
      </c>
      <c r="J32" s="431">
        <v>0.5399197263963686</v>
      </c>
      <c r="K32" s="432">
        <v>0.3521204419239332</v>
      </c>
      <c r="M32" s="430">
        <v>120</v>
      </c>
      <c r="N32" s="149">
        <v>46734186</v>
      </c>
      <c r="O32" s="431">
        <v>0.5649974476240348</v>
      </c>
      <c r="P32" s="432">
        <v>0.6241545230471433</v>
      </c>
      <c r="R32" s="430">
        <v>39</v>
      </c>
      <c r="S32" s="149">
        <v>12791639</v>
      </c>
      <c r="T32" s="431">
        <v>0.44201940759878966</v>
      </c>
      <c r="U32" s="432">
        <v>0.40587438568961204</v>
      </c>
      <c r="W32" s="430">
        <v>40</v>
      </c>
      <c r="X32" s="149">
        <v>22236303</v>
      </c>
      <c r="Y32" s="431">
        <v>0.6820748512352153</v>
      </c>
      <c r="Z32" s="432">
        <v>0.6134632428444913</v>
      </c>
      <c r="AB32" s="430">
        <v>313</v>
      </c>
      <c r="AC32" s="149">
        <v>121258447</v>
      </c>
      <c r="AD32" s="431">
        <v>0.544973854139353</v>
      </c>
      <c r="AE32" s="432">
        <v>0.49802618592176195</v>
      </c>
    </row>
    <row r="33" spans="2:31" ht="12.75">
      <c r="B33" s="134" t="s">
        <v>117</v>
      </c>
      <c r="C33" s="430">
        <v>39</v>
      </c>
      <c r="D33" s="149">
        <v>14974694</v>
      </c>
      <c r="E33" s="431">
        <v>0.49818227339732085</v>
      </c>
      <c r="F33" s="432">
        <v>0.4548300907768167</v>
      </c>
      <c r="G33" s="425"/>
      <c r="H33" s="430">
        <v>111</v>
      </c>
      <c r="I33" s="149">
        <v>29858340</v>
      </c>
      <c r="J33" s="431">
        <v>0.6452294322509975</v>
      </c>
      <c r="K33" s="432">
        <v>0.41920721806119643</v>
      </c>
      <c r="M33" s="430">
        <v>169</v>
      </c>
      <c r="N33" s="149">
        <v>41649216</v>
      </c>
      <c r="O33" s="431">
        <v>0.6840595347132229</v>
      </c>
      <c r="P33" s="432">
        <v>0.5997231000152475</v>
      </c>
      <c r="R33" s="430">
        <v>74</v>
      </c>
      <c r="S33" s="149">
        <v>24640442</v>
      </c>
      <c r="T33" s="431">
        <v>0.7054623280733484</v>
      </c>
      <c r="U33" s="432">
        <v>0.7064621047776122</v>
      </c>
      <c r="W33" s="430">
        <v>62</v>
      </c>
      <c r="X33" s="149">
        <v>38985029</v>
      </c>
      <c r="Y33" s="431">
        <v>0.8107808748299468</v>
      </c>
      <c r="Z33" s="432">
        <v>0.9649587957037924</v>
      </c>
      <c r="AB33" s="430">
        <v>455</v>
      </c>
      <c r="AC33" s="149">
        <v>150107721</v>
      </c>
      <c r="AD33" s="431">
        <v>0.6703635472862911</v>
      </c>
      <c r="AE33" s="432">
        <v>0.6031420922102444</v>
      </c>
    </row>
    <row r="34" spans="2:31" ht="12.75">
      <c r="B34" s="134" t="s">
        <v>118</v>
      </c>
      <c r="C34" s="430">
        <v>77</v>
      </c>
      <c r="D34" s="149">
        <v>19460661</v>
      </c>
      <c r="E34" s="431">
        <v>0.49264821705491424</v>
      </c>
      <c r="F34" s="432">
        <v>0.34596430913083964</v>
      </c>
      <c r="G34" s="425"/>
      <c r="H34" s="430">
        <v>278</v>
      </c>
      <c r="I34" s="149">
        <v>101467292</v>
      </c>
      <c r="J34" s="431">
        <v>0.7473716779631291</v>
      </c>
      <c r="K34" s="432">
        <v>0.740821968062014</v>
      </c>
      <c r="M34" s="430">
        <v>414</v>
      </c>
      <c r="N34" s="149">
        <v>93801828</v>
      </c>
      <c r="O34" s="431">
        <v>0.739459540096172</v>
      </c>
      <c r="P34" s="432">
        <v>0.7313613516374603</v>
      </c>
      <c r="R34" s="430">
        <v>173</v>
      </c>
      <c r="S34" s="149">
        <v>54801023</v>
      </c>
      <c r="T34" s="431">
        <v>0.7227049283087079</v>
      </c>
      <c r="U34" s="432">
        <v>0.7774096736820291</v>
      </c>
      <c r="W34" s="430">
        <v>140</v>
      </c>
      <c r="X34" s="149">
        <v>96487590</v>
      </c>
      <c r="Y34" s="431">
        <v>0.7789730686753724</v>
      </c>
      <c r="Z34" s="432">
        <v>1.2070385249228204</v>
      </c>
      <c r="AB34" s="430">
        <v>1082</v>
      </c>
      <c r="AC34" s="149">
        <v>366018394</v>
      </c>
      <c r="AD34" s="431">
        <v>0.7178689075569914</v>
      </c>
      <c r="AE34" s="432">
        <v>0.7756236357981914</v>
      </c>
    </row>
    <row r="35" spans="2:31" ht="12.75">
      <c r="B35" s="134" t="s">
        <v>119</v>
      </c>
      <c r="C35" s="430">
        <v>226</v>
      </c>
      <c r="D35" s="149">
        <v>69026281</v>
      </c>
      <c r="E35" s="431">
        <v>0.5163870046411971</v>
      </c>
      <c r="F35" s="432">
        <v>0.529786803327846</v>
      </c>
      <c r="G35" s="425"/>
      <c r="H35" s="430">
        <v>545</v>
      </c>
      <c r="I35" s="149">
        <v>152640026</v>
      </c>
      <c r="J35" s="431">
        <v>0.6056217702024322</v>
      </c>
      <c r="K35" s="432">
        <v>0.5852079353592629</v>
      </c>
      <c r="M35" s="430">
        <v>944</v>
      </c>
      <c r="N35" s="149">
        <v>204734243</v>
      </c>
      <c r="O35" s="431">
        <v>0.6574884803699894</v>
      </c>
      <c r="P35" s="432">
        <v>0.6991904414124471</v>
      </c>
      <c r="R35" s="430">
        <v>603</v>
      </c>
      <c r="S35" s="149">
        <v>158595709</v>
      </c>
      <c r="T35" s="431">
        <v>0.7041783197181811</v>
      </c>
      <c r="U35" s="432">
        <v>0.7088947178250147</v>
      </c>
      <c r="W35" s="430">
        <v>425</v>
      </c>
      <c r="X35" s="149">
        <v>137915692</v>
      </c>
      <c r="Y35" s="431">
        <v>0.7095069879677008</v>
      </c>
      <c r="Z35" s="432">
        <v>0.6345104943928908</v>
      </c>
      <c r="AB35" s="430">
        <v>2743</v>
      </c>
      <c r="AC35" s="149">
        <v>722911951</v>
      </c>
      <c r="AD35" s="431">
        <v>0.6486705128925475</v>
      </c>
      <c r="AE35" s="432">
        <v>0.6425784858058881</v>
      </c>
    </row>
    <row r="36" spans="2:31" ht="12.75">
      <c r="B36" s="134" t="s">
        <v>34</v>
      </c>
      <c r="C36" s="430">
        <v>182</v>
      </c>
      <c r="D36" s="149">
        <v>44785003</v>
      </c>
      <c r="E36" s="431">
        <v>0.46490704119850346</v>
      </c>
      <c r="F36" s="432">
        <v>0.4341733816029476</v>
      </c>
      <c r="G36" s="425"/>
      <c r="H36" s="430">
        <v>497</v>
      </c>
      <c r="I36" s="149">
        <v>117081086</v>
      </c>
      <c r="J36" s="431">
        <v>0.6365775459810075</v>
      </c>
      <c r="K36" s="432">
        <v>0.6325472522253054</v>
      </c>
      <c r="M36" s="430">
        <v>781</v>
      </c>
      <c r="N36" s="149">
        <v>155272137</v>
      </c>
      <c r="O36" s="431">
        <v>0.6080456049463157</v>
      </c>
      <c r="P36" s="432">
        <v>0.6777702595954053</v>
      </c>
      <c r="R36" s="430">
        <v>582</v>
      </c>
      <c r="S36" s="149">
        <v>124839139</v>
      </c>
      <c r="T36" s="431">
        <v>0.7108820567151628</v>
      </c>
      <c r="U36" s="432">
        <v>0.7355539060657819</v>
      </c>
      <c r="W36" s="430">
        <v>392</v>
      </c>
      <c r="X36" s="149">
        <v>154735160</v>
      </c>
      <c r="Y36" s="431">
        <v>0.7129490387664522</v>
      </c>
      <c r="Z36" s="432">
        <v>0.9062323681051013</v>
      </c>
      <c r="AB36" s="430">
        <v>2434</v>
      </c>
      <c r="AC36" s="149">
        <v>596712525</v>
      </c>
      <c r="AD36" s="431">
        <v>0.6363087724970159</v>
      </c>
      <c r="AE36" s="432">
        <v>0.6956280004097486</v>
      </c>
    </row>
    <row r="37" spans="2:31" ht="12.75">
      <c r="B37" s="134" t="s">
        <v>35</v>
      </c>
      <c r="C37" s="430">
        <v>203</v>
      </c>
      <c r="D37" s="149">
        <v>41039646</v>
      </c>
      <c r="E37" s="431">
        <v>0.5131921476848704</v>
      </c>
      <c r="F37" s="432">
        <v>0.5007142056842343</v>
      </c>
      <c r="G37" s="425"/>
      <c r="H37" s="430">
        <v>423</v>
      </c>
      <c r="I37" s="149">
        <v>86190441</v>
      </c>
      <c r="J37" s="431">
        <v>0.6248810343952711</v>
      </c>
      <c r="K37" s="432">
        <v>0.6126159184023305</v>
      </c>
      <c r="M37" s="430">
        <v>668</v>
      </c>
      <c r="N37" s="149">
        <v>110883065</v>
      </c>
      <c r="O37" s="431">
        <v>0.5973031031675585</v>
      </c>
      <c r="P37" s="432">
        <v>0.611707155726922</v>
      </c>
      <c r="R37" s="430">
        <v>401</v>
      </c>
      <c r="S37" s="149">
        <v>66041933</v>
      </c>
      <c r="T37" s="431">
        <v>0.6511586019537131</v>
      </c>
      <c r="U37" s="432">
        <v>0.6483848890268107</v>
      </c>
      <c r="W37" s="430">
        <v>279</v>
      </c>
      <c r="X37" s="149">
        <v>81421165</v>
      </c>
      <c r="Y37" s="431">
        <v>0.6758561462236795</v>
      </c>
      <c r="Z37" s="432">
        <v>0.8400688417056656</v>
      </c>
      <c r="AB37" s="430">
        <v>1974</v>
      </c>
      <c r="AC37" s="149">
        <v>385576250</v>
      </c>
      <c r="AD37" s="431">
        <v>0.6131410686115027</v>
      </c>
      <c r="AE37" s="432">
        <v>0.6397471838698693</v>
      </c>
    </row>
    <row r="38" spans="2:31" ht="12.75">
      <c r="B38" s="135" t="s">
        <v>36</v>
      </c>
      <c r="C38" s="433">
        <v>95</v>
      </c>
      <c r="D38" s="152">
        <v>17383375</v>
      </c>
      <c r="E38" s="434">
        <v>0.5948221297124241</v>
      </c>
      <c r="F38" s="435">
        <v>0.5454872898453685</v>
      </c>
      <c r="G38" s="425"/>
      <c r="H38" s="433">
        <v>167</v>
      </c>
      <c r="I38" s="152">
        <v>26477755</v>
      </c>
      <c r="J38" s="434">
        <v>0.7038079762347217</v>
      </c>
      <c r="K38" s="435">
        <v>0.6579756966496041</v>
      </c>
      <c r="M38" s="433">
        <v>232</v>
      </c>
      <c r="N38" s="152">
        <v>35543808</v>
      </c>
      <c r="O38" s="434">
        <v>0.5930958984683201</v>
      </c>
      <c r="P38" s="435">
        <v>0.653484668407277</v>
      </c>
      <c r="R38" s="433">
        <v>77</v>
      </c>
      <c r="S38" s="152">
        <v>13810864</v>
      </c>
      <c r="T38" s="434">
        <v>0.7160665811726565</v>
      </c>
      <c r="U38" s="435">
        <v>0.8838348273398061</v>
      </c>
      <c r="W38" s="433">
        <v>124</v>
      </c>
      <c r="X38" s="152">
        <v>23467671</v>
      </c>
      <c r="Y38" s="434">
        <v>0.6934315978101221</v>
      </c>
      <c r="Z38" s="435">
        <v>0.7024045531754314</v>
      </c>
      <c r="AB38" s="433">
        <v>695</v>
      </c>
      <c r="AC38" s="152">
        <v>116683473</v>
      </c>
      <c r="AD38" s="434">
        <v>0.64680481399978</v>
      </c>
      <c r="AE38" s="435">
        <v>0.664724551281672</v>
      </c>
    </row>
    <row r="39" spans="5:31" ht="12.75">
      <c r="E39" s="426"/>
      <c r="F39" s="426"/>
      <c r="J39" s="426"/>
      <c r="K39" s="426"/>
      <c r="O39" s="426"/>
      <c r="P39" s="426"/>
      <c r="T39" s="426"/>
      <c r="U39" s="426"/>
      <c r="Y39" s="426"/>
      <c r="Z39" s="426"/>
      <c r="AC39" s="128"/>
      <c r="AD39" s="426"/>
      <c r="AE39" s="426"/>
    </row>
    <row r="40" spans="1:31" ht="12.75">
      <c r="A40" s="139" t="s">
        <v>218</v>
      </c>
      <c r="B40" s="136" t="s">
        <v>163</v>
      </c>
      <c r="C40" s="427">
        <v>595</v>
      </c>
      <c r="D40" s="146">
        <v>77990352</v>
      </c>
      <c r="E40" s="428">
        <v>0.5188605731122795</v>
      </c>
      <c r="F40" s="429">
        <v>0.5169542969229082</v>
      </c>
      <c r="G40" s="425"/>
      <c r="H40" s="427">
        <v>1560</v>
      </c>
      <c r="I40" s="146">
        <v>189144145</v>
      </c>
      <c r="J40" s="428">
        <v>0.6694081217828375</v>
      </c>
      <c r="K40" s="429">
        <v>0.6669674141564746</v>
      </c>
      <c r="M40" s="427">
        <v>2614</v>
      </c>
      <c r="N40" s="146">
        <v>315989881</v>
      </c>
      <c r="O40" s="428">
        <v>0.6352770477107402</v>
      </c>
      <c r="P40" s="429">
        <v>0.638514879609423</v>
      </c>
      <c r="R40" s="427">
        <v>1458</v>
      </c>
      <c r="S40" s="146">
        <v>178996129</v>
      </c>
      <c r="T40" s="428">
        <v>0.6979482575915544</v>
      </c>
      <c r="U40" s="429">
        <v>0.6853743346310953</v>
      </c>
      <c r="W40" s="427">
        <v>938</v>
      </c>
      <c r="X40" s="146">
        <v>116004685</v>
      </c>
      <c r="Y40" s="428">
        <v>0.6802213115265696</v>
      </c>
      <c r="Z40" s="429">
        <v>0.6701579496152013</v>
      </c>
      <c r="AB40" s="427">
        <v>7165</v>
      </c>
      <c r="AC40" s="146">
        <v>878125192</v>
      </c>
      <c r="AD40" s="428">
        <v>0.6478391762799064</v>
      </c>
      <c r="AE40" s="429">
        <v>0.6439747301712964</v>
      </c>
    </row>
    <row r="41" spans="1:31" ht="12.75">
      <c r="A41" s="139" t="s">
        <v>219</v>
      </c>
      <c r="B41" s="137" t="s">
        <v>164</v>
      </c>
      <c r="C41" s="430">
        <v>159</v>
      </c>
      <c r="D41" s="149">
        <v>49936495</v>
      </c>
      <c r="E41" s="431">
        <v>0.46667511182298466</v>
      </c>
      <c r="F41" s="432">
        <v>0.48205818559575003</v>
      </c>
      <c r="G41" s="425"/>
      <c r="H41" s="430">
        <v>355</v>
      </c>
      <c r="I41" s="149">
        <v>104779146</v>
      </c>
      <c r="J41" s="431">
        <v>0.5735011515095328</v>
      </c>
      <c r="K41" s="432">
        <v>0.5835506561620937</v>
      </c>
      <c r="M41" s="430">
        <v>533</v>
      </c>
      <c r="N41" s="149">
        <v>151666774</v>
      </c>
      <c r="O41" s="431">
        <v>0.5987511578617212</v>
      </c>
      <c r="P41" s="432">
        <v>0.6052803378348706</v>
      </c>
      <c r="R41" s="430">
        <v>324</v>
      </c>
      <c r="S41" s="149">
        <v>97745134</v>
      </c>
      <c r="T41" s="431">
        <v>0.6126123611901179</v>
      </c>
      <c r="U41" s="432">
        <v>0.6101540773960944</v>
      </c>
      <c r="W41" s="430">
        <v>247</v>
      </c>
      <c r="X41" s="149">
        <v>74152899</v>
      </c>
      <c r="Y41" s="431">
        <v>0.6456581865693746</v>
      </c>
      <c r="Z41" s="432">
        <v>0.6500995817614873</v>
      </c>
      <c r="AB41" s="430">
        <v>1618</v>
      </c>
      <c r="AC41" s="149">
        <v>478280448</v>
      </c>
      <c r="AD41" s="431">
        <v>0.5859480219632909</v>
      </c>
      <c r="AE41" s="432">
        <v>0.5919467601695321</v>
      </c>
    </row>
    <row r="42" spans="2:31" ht="12.75">
      <c r="B42" s="137" t="s">
        <v>165</v>
      </c>
      <c r="C42" s="430">
        <v>87</v>
      </c>
      <c r="D42" s="149">
        <v>50944543</v>
      </c>
      <c r="E42" s="431">
        <v>0.5265151836085523</v>
      </c>
      <c r="F42" s="432">
        <v>0.5355228220973566</v>
      </c>
      <c r="G42" s="425"/>
      <c r="H42" s="430">
        <v>135</v>
      </c>
      <c r="I42" s="149">
        <v>74428251</v>
      </c>
      <c r="J42" s="431">
        <v>0.5062251823104346</v>
      </c>
      <c r="K42" s="432">
        <v>0.4974314605119963</v>
      </c>
      <c r="M42" s="430">
        <v>152</v>
      </c>
      <c r="N42" s="149">
        <v>87438100</v>
      </c>
      <c r="O42" s="431">
        <v>0.5513099850652985</v>
      </c>
      <c r="P42" s="432">
        <v>0.5767708767408122</v>
      </c>
      <c r="R42" s="430">
        <v>114</v>
      </c>
      <c r="S42" s="149">
        <v>66504437</v>
      </c>
      <c r="T42" s="431">
        <v>0.6058473838553333</v>
      </c>
      <c r="U42" s="432">
        <v>0.6125296360049728</v>
      </c>
      <c r="W42" s="430">
        <v>166</v>
      </c>
      <c r="X42" s="149">
        <v>97852516</v>
      </c>
      <c r="Y42" s="431">
        <v>0.847688677243604</v>
      </c>
      <c r="Z42" s="432">
        <v>0.8642329226110995</v>
      </c>
      <c r="AB42" s="430">
        <v>654</v>
      </c>
      <c r="AC42" s="149">
        <v>377167847</v>
      </c>
      <c r="AD42" s="431">
        <v>0.5991112761343784</v>
      </c>
      <c r="AE42" s="432">
        <v>0.6101527961076728</v>
      </c>
    </row>
    <row r="43" spans="2:31" ht="12.75">
      <c r="B43" s="137" t="s">
        <v>45</v>
      </c>
      <c r="C43" s="430">
        <v>38</v>
      </c>
      <c r="D43" s="149">
        <v>43900633</v>
      </c>
      <c r="E43" s="431">
        <v>0.5092762661579604</v>
      </c>
      <c r="F43" s="432">
        <v>0.47608100539962583</v>
      </c>
      <c r="G43" s="425"/>
      <c r="H43" s="430">
        <v>89</v>
      </c>
      <c r="I43" s="149">
        <v>118682409</v>
      </c>
      <c r="J43" s="431">
        <v>0.6388732400836804</v>
      </c>
      <c r="K43" s="432">
        <v>0.6805576107057889</v>
      </c>
      <c r="M43" s="430">
        <v>78</v>
      </c>
      <c r="N43" s="149">
        <v>94501632</v>
      </c>
      <c r="O43" s="431">
        <v>0.7719980854447418</v>
      </c>
      <c r="P43" s="432">
        <v>0.7827307449211292</v>
      </c>
      <c r="R43" s="430">
        <v>68</v>
      </c>
      <c r="S43" s="149">
        <v>83095497</v>
      </c>
      <c r="T43" s="431">
        <v>0.8857198642608209</v>
      </c>
      <c r="U43" s="432">
        <v>0.8769569603707439</v>
      </c>
      <c r="W43" s="430">
        <v>105</v>
      </c>
      <c r="X43" s="149">
        <v>133604392</v>
      </c>
      <c r="Y43" s="431">
        <v>0.9463711308855542</v>
      </c>
      <c r="Z43" s="432">
        <v>0.9351807137405468</v>
      </c>
      <c r="AB43" s="430">
        <v>378</v>
      </c>
      <c r="AC43" s="149">
        <v>473784563</v>
      </c>
      <c r="AD43" s="431">
        <v>0.7519637443664446</v>
      </c>
      <c r="AE43" s="432">
        <v>0.758110025813555</v>
      </c>
    </row>
    <row r="44" spans="2:31" ht="12.75">
      <c r="B44" s="137" t="s">
        <v>46</v>
      </c>
      <c r="C44" s="430">
        <v>0</v>
      </c>
      <c r="D44" s="149">
        <v>0</v>
      </c>
      <c r="E44" s="431">
        <v>0</v>
      </c>
      <c r="F44" s="432">
        <v>0</v>
      </c>
      <c r="G44" s="425"/>
      <c r="H44" s="430">
        <v>9</v>
      </c>
      <c r="I44" s="149">
        <v>29700000</v>
      </c>
      <c r="J44" s="431">
        <v>0.47564838802761483</v>
      </c>
      <c r="K44" s="432">
        <v>0.5001209675449054</v>
      </c>
      <c r="M44" s="430">
        <v>10</v>
      </c>
      <c r="N44" s="149">
        <v>31062072</v>
      </c>
      <c r="O44" s="431">
        <v>1.221820243362153</v>
      </c>
      <c r="P44" s="432">
        <v>1.2034273078509936</v>
      </c>
      <c r="R44" s="430">
        <v>8</v>
      </c>
      <c r="S44" s="149">
        <v>25146711</v>
      </c>
      <c r="T44" s="431">
        <v>1.084873741037926</v>
      </c>
      <c r="U44" s="432">
        <v>1.0639221370053786</v>
      </c>
      <c r="W44" s="430">
        <v>16</v>
      </c>
      <c r="X44" s="149">
        <v>55005890</v>
      </c>
      <c r="Y44" s="431">
        <v>0.9810648355091528</v>
      </c>
      <c r="Z44" s="432">
        <v>1.0231836502704217</v>
      </c>
      <c r="AB44" s="430">
        <v>43</v>
      </c>
      <c r="AC44" s="149">
        <v>140914673</v>
      </c>
      <c r="AD44" s="431">
        <v>0.7486279651543277</v>
      </c>
      <c r="AE44" s="432">
        <v>0.76728647424277</v>
      </c>
    </row>
    <row r="45" spans="1:31" ht="12.75">
      <c r="A45" s="421"/>
      <c r="B45" s="138" t="s">
        <v>47</v>
      </c>
      <c r="C45" s="433">
        <v>1</v>
      </c>
      <c r="D45" s="152">
        <v>8000000</v>
      </c>
      <c r="E45" s="434">
        <v>0.26260021480697593</v>
      </c>
      <c r="F45" s="435">
        <v>0.29715155367799007</v>
      </c>
      <c r="G45" s="425"/>
      <c r="H45" s="433">
        <v>7</v>
      </c>
      <c r="I45" s="152">
        <v>47094795</v>
      </c>
      <c r="J45" s="434">
        <v>0.509311301981585</v>
      </c>
      <c r="K45" s="435">
        <v>0.41235843356662943</v>
      </c>
      <c r="M45" s="433">
        <v>4</v>
      </c>
      <c r="N45" s="152">
        <v>25500000</v>
      </c>
      <c r="O45" s="434">
        <v>0.5030782097961903</v>
      </c>
      <c r="P45" s="435">
        <v>0.47511100715503884</v>
      </c>
      <c r="R45" s="433">
        <v>1</v>
      </c>
      <c r="S45" s="152">
        <v>10000000</v>
      </c>
      <c r="T45" s="434">
        <v>0.27203630052394173</v>
      </c>
      <c r="U45" s="435">
        <v>0.40982485840644683</v>
      </c>
      <c r="W45" s="433">
        <v>17</v>
      </c>
      <c r="X45" s="152">
        <v>132518079</v>
      </c>
      <c r="Y45" s="434">
        <v>1.3252529284191925</v>
      </c>
      <c r="Z45" s="435">
        <v>1.282640373035294</v>
      </c>
      <c r="AB45" s="433">
        <v>30</v>
      </c>
      <c r="AC45" s="152">
        <v>223112874</v>
      </c>
      <c r="AD45" s="434">
        <v>0.7141685566343982</v>
      </c>
      <c r="AE45" s="435">
        <v>0.6917807198519794</v>
      </c>
    </row>
    <row r="46" spans="1:31" ht="12.75">
      <c r="A46" s="421"/>
      <c r="E46" s="426"/>
      <c r="F46" s="426"/>
      <c r="J46" s="426"/>
      <c r="K46" s="426"/>
      <c r="O46" s="426"/>
      <c r="P46" s="426"/>
      <c r="T46" s="426"/>
      <c r="U46" s="426"/>
      <c r="Y46" s="426"/>
      <c r="Z46" s="426"/>
      <c r="AC46" s="128"/>
      <c r="AD46" s="426"/>
      <c r="AE46" s="426"/>
    </row>
    <row r="47" spans="1:31" ht="12.75">
      <c r="A47" s="139" t="s">
        <v>224</v>
      </c>
      <c r="B47" s="133" t="s">
        <v>220</v>
      </c>
      <c r="C47" s="427">
        <v>422</v>
      </c>
      <c r="D47" s="146">
        <v>103384872</v>
      </c>
      <c r="E47" s="428">
        <v>0.5133627971138852</v>
      </c>
      <c r="F47" s="429">
        <v>0.4528940400729462</v>
      </c>
      <c r="G47" s="425"/>
      <c r="H47" s="427">
        <v>1226</v>
      </c>
      <c r="I47" s="146">
        <v>297974781</v>
      </c>
      <c r="J47" s="428">
        <v>0.6401863052849271</v>
      </c>
      <c r="K47" s="429">
        <v>0.5591118656241323</v>
      </c>
      <c r="M47" s="427">
        <v>1582</v>
      </c>
      <c r="N47" s="146">
        <v>308056701</v>
      </c>
      <c r="O47" s="428">
        <v>0.6192320947415122</v>
      </c>
      <c r="P47" s="429">
        <v>0.6112570797691613</v>
      </c>
      <c r="R47" s="427">
        <v>950</v>
      </c>
      <c r="S47" s="146">
        <v>220342422</v>
      </c>
      <c r="T47" s="428">
        <v>0.687341608004996</v>
      </c>
      <c r="U47" s="429">
        <v>0.6972265247070016</v>
      </c>
      <c r="W47" s="427">
        <v>701</v>
      </c>
      <c r="X47" s="146">
        <v>295474693</v>
      </c>
      <c r="Y47" s="428">
        <v>0.6973948383052074</v>
      </c>
      <c r="Z47" s="429">
        <v>0.8920134081850818</v>
      </c>
      <c r="AB47" s="427">
        <v>4881</v>
      </c>
      <c r="AC47" s="146">
        <v>1225233469</v>
      </c>
      <c r="AD47" s="428">
        <v>0.635614617614358</v>
      </c>
      <c r="AE47" s="429">
        <v>0.6406572713525773</v>
      </c>
    </row>
    <row r="48" spans="1:31" ht="12.75">
      <c r="A48" s="139" t="s">
        <v>225</v>
      </c>
      <c r="B48" s="135" t="s">
        <v>221</v>
      </c>
      <c r="C48" s="433">
        <v>458</v>
      </c>
      <c r="D48" s="152">
        <v>127387151</v>
      </c>
      <c r="E48" s="434">
        <v>0.5001466150317319</v>
      </c>
      <c r="F48" s="435">
        <v>0.4871301244975756</v>
      </c>
      <c r="G48" s="425"/>
      <c r="H48" s="433">
        <v>929</v>
      </c>
      <c r="I48" s="152">
        <v>265853965</v>
      </c>
      <c r="J48" s="434">
        <v>0.6306825370651679</v>
      </c>
      <c r="K48" s="435">
        <v>0.6214316544459773</v>
      </c>
      <c r="M48" s="433">
        <v>1809</v>
      </c>
      <c r="N48" s="152">
        <v>398101758</v>
      </c>
      <c r="O48" s="434">
        <v>0.6362933585471832</v>
      </c>
      <c r="P48" s="435">
        <v>0.6709973374367931</v>
      </c>
      <c r="R48" s="433">
        <v>1023</v>
      </c>
      <c r="S48" s="152">
        <v>241145486</v>
      </c>
      <c r="T48" s="434">
        <v>0.6767143869379194</v>
      </c>
      <c r="U48" s="435">
        <v>0.6760451997140415</v>
      </c>
      <c r="W48" s="433">
        <v>788</v>
      </c>
      <c r="X48" s="152">
        <v>313663768</v>
      </c>
      <c r="Y48" s="434">
        <v>0.7214385301184156</v>
      </c>
      <c r="Z48" s="435">
        <v>0.8498406066386806</v>
      </c>
      <c r="AB48" s="433">
        <v>5007</v>
      </c>
      <c r="AC48" s="152">
        <v>1346152128</v>
      </c>
      <c r="AD48" s="434">
        <v>0.6389947385311614</v>
      </c>
      <c r="AE48" s="435">
        <v>0.6702614826354285</v>
      </c>
    </row>
    <row r="51" ht="12.75">
      <c r="B51" s="130" t="s">
        <v>245</v>
      </c>
    </row>
    <row r="52" ht="12.75">
      <c r="B52" s="130" t="s">
        <v>272</v>
      </c>
    </row>
  </sheetData>
  <sheetProtection/>
  <mergeCells count="20">
    <mergeCell ref="A6:AB6"/>
    <mergeCell ref="T10:U10"/>
    <mergeCell ref="W10:X10"/>
    <mergeCell ref="A7:AA7"/>
    <mergeCell ref="C8:F8"/>
    <mergeCell ref="H8:K8"/>
    <mergeCell ref="M8:P8"/>
    <mergeCell ref="R8:U8"/>
    <mergeCell ref="W8:Z8"/>
    <mergeCell ref="Y10:Z10"/>
    <mergeCell ref="AB10:AC10"/>
    <mergeCell ref="AD10:AE10"/>
    <mergeCell ref="AB8:AE8"/>
    <mergeCell ref="C10:D10"/>
    <mergeCell ref="E10:F10"/>
    <mergeCell ref="H10:I10"/>
    <mergeCell ref="J10:K10"/>
    <mergeCell ref="M10:N10"/>
    <mergeCell ref="O10:P10"/>
    <mergeCell ref="R10:S10"/>
  </mergeCells>
  <printOptions/>
  <pageMargins left="0.75" right="0.75" top="1" bottom="1" header="0.5" footer="0.5"/>
  <pageSetup fitToHeight="4" fitToWidth="1" horizontalDpi="600" verticalDpi="600" orientation="landscape" scale="41" r:id="rId1"/>
  <headerFooter alignWithMargins="0">
    <oddFooter>&amp;L&amp;F&amp;R&amp;"Arial,Italic"&amp;A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E50"/>
  <sheetViews>
    <sheetView zoomScale="85" zoomScaleNormal="85" zoomScaleSheetLayoutView="85" zoomScalePageLayoutView="0" workbookViewId="0" topLeftCell="A4">
      <selection activeCell="B51" sqref="B51"/>
    </sheetView>
  </sheetViews>
  <sheetFormatPr defaultColWidth="9.140625" defaultRowHeight="12.75"/>
  <cols>
    <col min="1" max="1" width="11.8515625" style="139" bestFit="1" customWidth="1"/>
    <col min="2" max="2" width="20.140625" style="130" bestFit="1" customWidth="1"/>
    <col min="3" max="3" width="9.140625" style="419" customWidth="1"/>
    <col min="4" max="4" width="12.28125" style="128" bestFit="1" customWidth="1"/>
    <col min="5" max="5" width="9.00390625" style="420" bestFit="1" customWidth="1"/>
    <col min="6" max="6" width="10.7109375" style="420" customWidth="1"/>
    <col min="7" max="7" width="2.7109375" style="420" customWidth="1"/>
    <col min="8" max="8" width="9.140625" style="419" customWidth="1"/>
    <col min="9" max="9" width="13.421875" style="128" bestFit="1" customWidth="1"/>
    <col min="10" max="11" width="9.140625" style="420" customWidth="1"/>
    <col min="12" max="12" width="2.7109375" style="420" customWidth="1"/>
    <col min="13" max="13" width="9.140625" style="419" customWidth="1"/>
    <col min="14" max="14" width="12.28125" style="128" bestFit="1" customWidth="1"/>
    <col min="15" max="16" width="9.140625" style="420" customWidth="1"/>
    <col min="17" max="17" width="2.7109375" style="420" customWidth="1"/>
    <col min="18" max="18" width="9.140625" style="419" customWidth="1"/>
    <col min="19" max="19" width="12.28125" style="128" bestFit="1" customWidth="1"/>
    <col min="20" max="21" width="9.140625" style="420" customWidth="1"/>
    <col min="22" max="22" width="2.7109375" style="420" customWidth="1"/>
    <col min="23" max="23" width="9.140625" style="419" customWidth="1"/>
    <col min="24" max="24" width="12.28125" style="128" bestFit="1" customWidth="1"/>
    <col min="25" max="26" width="9.140625" style="420" customWidth="1"/>
    <col min="27" max="27" width="2.7109375" style="420" customWidth="1"/>
    <col min="28" max="28" width="9.140625" style="419" customWidth="1"/>
    <col min="29" max="29" width="13.421875" style="420" bestFit="1" customWidth="1"/>
    <col min="30" max="30" width="8.7109375" style="420" bestFit="1" customWidth="1"/>
    <col min="31" max="31" width="10.00390625" style="420" bestFit="1" customWidth="1"/>
    <col min="32" max="16384" width="9.140625" style="421" customWidth="1"/>
  </cols>
  <sheetData>
    <row r="1" spans="1:31" s="186" customFormat="1" ht="21.75" customHeight="1">
      <c r="A1" s="1"/>
      <c r="B1" s="416"/>
      <c r="C1" s="417"/>
      <c r="D1" s="417"/>
      <c r="E1" s="418"/>
      <c r="F1" s="418"/>
      <c r="G1" s="418"/>
      <c r="H1" s="417"/>
      <c r="I1" s="417"/>
      <c r="J1" s="418"/>
      <c r="K1" s="418"/>
      <c r="L1" s="119"/>
      <c r="M1" s="167"/>
      <c r="N1" s="167"/>
      <c r="O1" s="119"/>
      <c r="P1" s="119" t="s">
        <v>222</v>
      </c>
      <c r="Q1" s="119"/>
      <c r="R1" s="167"/>
      <c r="S1" s="167"/>
      <c r="T1" s="119"/>
      <c r="U1" s="119"/>
      <c r="V1" s="119"/>
      <c r="W1" s="417"/>
      <c r="X1" s="417"/>
      <c r="Y1" s="418"/>
      <c r="Z1" s="418"/>
      <c r="AA1" s="418"/>
      <c r="AB1" s="417"/>
      <c r="AC1" s="417"/>
      <c r="AD1" s="418"/>
      <c r="AE1" s="195"/>
    </row>
    <row r="2" spans="1:31" s="186" customFormat="1" ht="18">
      <c r="A2" s="1"/>
      <c r="B2" s="416"/>
      <c r="C2" s="417"/>
      <c r="D2" s="417"/>
      <c r="E2" s="418"/>
      <c r="F2" s="418"/>
      <c r="G2" s="418"/>
      <c r="H2" s="417"/>
      <c r="I2" s="417"/>
      <c r="J2" s="418"/>
      <c r="K2" s="418"/>
      <c r="L2" s="120"/>
      <c r="M2" s="168"/>
      <c r="N2" s="168"/>
      <c r="O2" s="120"/>
      <c r="P2" s="120" t="s">
        <v>80</v>
      </c>
      <c r="Q2" s="120"/>
      <c r="R2" s="168"/>
      <c r="S2" s="168"/>
      <c r="T2" s="120"/>
      <c r="U2" s="120"/>
      <c r="V2" s="120"/>
      <c r="W2" s="417"/>
      <c r="X2" s="417"/>
      <c r="Y2" s="418"/>
      <c r="Z2" s="418"/>
      <c r="AA2" s="418"/>
      <c r="AB2" s="417"/>
      <c r="AC2" s="417"/>
      <c r="AD2" s="418"/>
      <c r="AE2" s="195"/>
    </row>
    <row r="3" spans="1:31" s="186" customFormat="1" ht="15.75">
      <c r="A3" s="1"/>
      <c r="B3" s="416"/>
      <c r="C3" s="417"/>
      <c r="D3" s="417"/>
      <c r="E3" s="418"/>
      <c r="F3" s="418"/>
      <c r="G3" s="418"/>
      <c r="H3" s="417"/>
      <c r="I3" s="417"/>
      <c r="J3" s="418"/>
      <c r="K3" s="418"/>
      <c r="L3" s="121"/>
      <c r="M3" s="169"/>
      <c r="N3" s="169"/>
      <c r="O3" s="121"/>
      <c r="P3" s="121" t="s">
        <v>1</v>
      </c>
      <c r="Q3" s="121"/>
      <c r="R3" s="169"/>
      <c r="S3" s="169"/>
      <c r="T3" s="121"/>
      <c r="U3" s="121"/>
      <c r="V3" s="121"/>
      <c r="W3" s="417"/>
      <c r="X3" s="417"/>
      <c r="Y3" s="418"/>
      <c r="Z3" s="418"/>
      <c r="AA3" s="418"/>
      <c r="AB3" s="417"/>
      <c r="AC3" s="417"/>
      <c r="AD3" s="418"/>
      <c r="AE3" s="195"/>
    </row>
    <row r="4" spans="1:31" s="186" customFormat="1" ht="14.25" customHeight="1">
      <c r="A4" s="1"/>
      <c r="B4" s="416"/>
      <c r="C4" s="417"/>
      <c r="D4" s="417"/>
      <c r="E4" s="418"/>
      <c r="F4" s="418"/>
      <c r="G4" s="418"/>
      <c r="H4" s="417"/>
      <c r="I4" s="417"/>
      <c r="J4" s="418"/>
      <c r="K4" s="418"/>
      <c r="L4" s="129"/>
      <c r="M4" s="203"/>
      <c r="N4" s="203"/>
      <c r="O4" s="129"/>
      <c r="P4" s="129" t="s">
        <v>223</v>
      </c>
      <c r="Q4" s="129"/>
      <c r="R4" s="203"/>
      <c r="S4" s="203"/>
      <c r="T4" s="129"/>
      <c r="U4" s="129"/>
      <c r="V4" s="129"/>
      <c r="W4" s="417"/>
      <c r="X4" s="417"/>
      <c r="Y4" s="418"/>
      <c r="Z4" s="418"/>
      <c r="AA4" s="418"/>
      <c r="AB4" s="417"/>
      <c r="AC4" s="417"/>
      <c r="AD4" s="418"/>
      <c r="AE4" s="195"/>
    </row>
    <row r="5" spans="1:31" s="186" customFormat="1" ht="15.75">
      <c r="A5" s="1"/>
      <c r="B5" s="416"/>
      <c r="C5" s="417"/>
      <c r="D5" s="417"/>
      <c r="E5" s="418"/>
      <c r="F5" s="418"/>
      <c r="G5" s="418"/>
      <c r="H5" s="417"/>
      <c r="I5" s="417"/>
      <c r="J5" s="418"/>
      <c r="K5" s="418"/>
      <c r="L5" s="122"/>
      <c r="M5" s="171"/>
      <c r="N5" s="171"/>
      <c r="O5" s="122"/>
      <c r="P5" s="122" t="s">
        <v>233</v>
      </c>
      <c r="Q5" s="122"/>
      <c r="R5" s="171"/>
      <c r="S5" s="171"/>
      <c r="T5" s="122"/>
      <c r="U5" s="122"/>
      <c r="V5" s="122"/>
      <c r="W5" s="417"/>
      <c r="X5" s="417"/>
      <c r="Y5" s="418"/>
      <c r="Z5" s="418"/>
      <c r="AA5" s="418"/>
      <c r="AB5" s="417"/>
      <c r="AC5" s="417"/>
      <c r="AD5" s="418"/>
      <c r="AE5" s="195"/>
    </row>
    <row r="6" spans="1:28" ht="12.75">
      <c r="A6" s="679"/>
      <c r="B6" s="679"/>
      <c r="C6" s="679"/>
      <c r="D6" s="679"/>
      <c r="E6" s="679"/>
      <c r="F6" s="679"/>
      <c r="G6" s="679"/>
      <c r="H6" s="679"/>
      <c r="I6" s="679"/>
      <c r="J6" s="679"/>
      <c r="K6" s="679"/>
      <c r="L6" s="679"/>
      <c r="M6" s="679"/>
      <c r="N6" s="679"/>
      <c r="O6" s="679"/>
      <c r="P6" s="679"/>
      <c r="Q6" s="679"/>
      <c r="R6" s="679"/>
      <c r="S6" s="679"/>
      <c r="T6" s="679"/>
      <c r="U6" s="679"/>
      <c r="V6" s="679"/>
      <c r="W6" s="679"/>
      <c r="X6" s="679"/>
      <c r="Y6" s="679"/>
      <c r="Z6" s="679"/>
      <c r="AA6" s="679"/>
      <c r="AB6" s="679"/>
    </row>
    <row r="7" spans="1:27" ht="12.75">
      <c r="A7" s="678" t="s">
        <v>230</v>
      </c>
      <c r="B7" s="678"/>
      <c r="C7" s="678"/>
      <c r="D7" s="678"/>
      <c r="E7" s="678"/>
      <c r="F7" s="678"/>
      <c r="G7" s="678"/>
      <c r="H7" s="678"/>
      <c r="I7" s="678"/>
      <c r="J7" s="678"/>
      <c r="K7" s="678"/>
      <c r="L7" s="678"/>
      <c r="M7" s="678"/>
      <c r="N7" s="678"/>
      <c r="O7" s="678"/>
      <c r="P7" s="678"/>
      <c r="Q7" s="678"/>
      <c r="R7" s="678"/>
      <c r="S7" s="678"/>
      <c r="T7" s="678"/>
      <c r="U7" s="678"/>
      <c r="V7" s="678"/>
      <c r="W7" s="678"/>
      <c r="X7" s="678"/>
      <c r="Y7" s="678"/>
      <c r="Z7" s="678"/>
      <c r="AA7" s="678"/>
    </row>
    <row r="8" spans="3:31" ht="12.75">
      <c r="C8" s="678" t="s">
        <v>209</v>
      </c>
      <c r="D8" s="678"/>
      <c r="E8" s="678"/>
      <c r="F8" s="678"/>
      <c r="G8" s="126"/>
      <c r="H8" s="678" t="s">
        <v>210</v>
      </c>
      <c r="I8" s="678"/>
      <c r="J8" s="678"/>
      <c r="K8" s="678"/>
      <c r="M8" s="678" t="s">
        <v>211</v>
      </c>
      <c r="N8" s="678"/>
      <c r="O8" s="678"/>
      <c r="P8" s="678"/>
      <c r="R8" s="678" t="s">
        <v>212</v>
      </c>
      <c r="S8" s="678"/>
      <c r="T8" s="678"/>
      <c r="U8" s="678"/>
      <c r="W8" s="678" t="s">
        <v>213</v>
      </c>
      <c r="X8" s="678"/>
      <c r="Y8" s="678"/>
      <c r="Z8" s="678"/>
      <c r="AB8" s="678" t="s">
        <v>214</v>
      </c>
      <c r="AC8" s="678"/>
      <c r="AD8" s="678"/>
      <c r="AE8" s="678"/>
    </row>
    <row r="10" spans="3:31" ht="12.75">
      <c r="C10" s="680" t="s">
        <v>215</v>
      </c>
      <c r="D10" s="680"/>
      <c r="E10" s="680" t="s">
        <v>216</v>
      </c>
      <c r="F10" s="680"/>
      <c r="H10" s="680" t="s">
        <v>215</v>
      </c>
      <c r="I10" s="680"/>
      <c r="J10" s="680" t="s">
        <v>216</v>
      </c>
      <c r="K10" s="680"/>
      <c r="M10" s="680" t="s">
        <v>215</v>
      </c>
      <c r="N10" s="680"/>
      <c r="O10" s="680" t="s">
        <v>216</v>
      </c>
      <c r="P10" s="680"/>
      <c r="R10" s="680" t="s">
        <v>215</v>
      </c>
      <c r="S10" s="680"/>
      <c r="T10" s="680" t="s">
        <v>216</v>
      </c>
      <c r="U10" s="680"/>
      <c r="W10" s="680" t="s">
        <v>215</v>
      </c>
      <c r="X10" s="680"/>
      <c r="Y10" s="680" t="s">
        <v>216</v>
      </c>
      <c r="Z10" s="680"/>
      <c r="AB10" s="680" t="s">
        <v>215</v>
      </c>
      <c r="AC10" s="680"/>
      <c r="AD10" s="680" t="s">
        <v>216</v>
      </c>
      <c r="AE10" s="680"/>
    </row>
    <row r="11" spans="3:31" ht="12.75">
      <c r="C11" s="419" t="s">
        <v>258</v>
      </c>
      <c r="D11" s="128" t="s">
        <v>217</v>
      </c>
      <c r="E11" s="420" t="s">
        <v>258</v>
      </c>
      <c r="F11" s="420" t="s">
        <v>217</v>
      </c>
      <c r="H11" s="419" t="s">
        <v>258</v>
      </c>
      <c r="I11" s="128" t="s">
        <v>217</v>
      </c>
      <c r="J11" s="420" t="s">
        <v>258</v>
      </c>
      <c r="K11" s="420" t="s">
        <v>217</v>
      </c>
      <c r="M11" s="419" t="s">
        <v>258</v>
      </c>
      <c r="N11" s="128" t="s">
        <v>217</v>
      </c>
      <c r="O11" s="420" t="s">
        <v>258</v>
      </c>
      <c r="P11" s="420" t="s">
        <v>217</v>
      </c>
      <c r="R11" s="419" t="s">
        <v>258</v>
      </c>
      <c r="S11" s="128" t="s">
        <v>217</v>
      </c>
      <c r="T11" s="420" t="s">
        <v>258</v>
      </c>
      <c r="U11" s="420" t="s">
        <v>217</v>
      </c>
      <c r="W11" s="419" t="s">
        <v>258</v>
      </c>
      <c r="X11" s="128" t="s">
        <v>217</v>
      </c>
      <c r="Y11" s="420" t="s">
        <v>258</v>
      </c>
      <c r="Z11" s="420" t="s">
        <v>217</v>
      </c>
      <c r="AB11" s="419" t="s">
        <v>258</v>
      </c>
      <c r="AC11" s="128" t="s">
        <v>217</v>
      </c>
      <c r="AD11" s="420" t="s">
        <v>258</v>
      </c>
      <c r="AE11" s="420" t="s">
        <v>217</v>
      </c>
    </row>
    <row r="12" ht="12.75">
      <c r="AC12" s="128"/>
    </row>
    <row r="13" spans="1:31" ht="12.75">
      <c r="A13" s="139" t="s">
        <v>10</v>
      </c>
      <c r="B13" s="131"/>
      <c r="C13" s="445">
        <v>2271</v>
      </c>
      <c r="D13" s="172">
        <v>80417479</v>
      </c>
      <c r="E13" s="441">
        <v>0.864202446855079</v>
      </c>
      <c r="F13" s="446">
        <v>0.8168600468934337</v>
      </c>
      <c r="G13" s="425"/>
      <c r="H13" s="447">
        <v>17576</v>
      </c>
      <c r="I13" s="172">
        <v>434594163</v>
      </c>
      <c r="J13" s="441">
        <v>0.9566457778322217</v>
      </c>
      <c r="K13" s="446">
        <v>0.8866654024737757</v>
      </c>
      <c r="M13" s="440">
        <v>1899</v>
      </c>
      <c r="N13" s="172">
        <v>62636760</v>
      </c>
      <c r="O13" s="441">
        <v>1.024582076397091</v>
      </c>
      <c r="P13" s="446">
        <v>0.9839242412162007</v>
      </c>
      <c r="R13" s="440">
        <v>2677</v>
      </c>
      <c r="S13" s="172">
        <v>89302626</v>
      </c>
      <c r="T13" s="441">
        <v>1.1170070333555682</v>
      </c>
      <c r="U13" s="446">
        <v>1.0739037723243865</v>
      </c>
      <c r="W13" s="422">
        <v>906</v>
      </c>
      <c r="X13" s="172">
        <v>29980688</v>
      </c>
      <c r="Y13" s="441">
        <v>1.3084638358720928</v>
      </c>
      <c r="Z13" s="446">
        <v>1.288464865635696</v>
      </c>
      <c r="AB13" s="422">
        <v>25329</v>
      </c>
      <c r="AC13" s="172">
        <v>696931716</v>
      </c>
      <c r="AD13" s="441">
        <v>0.9763388095940275</v>
      </c>
      <c r="AE13" s="446">
        <v>0.9186139606985163</v>
      </c>
    </row>
    <row r="14" spans="5:31" ht="12.75">
      <c r="E14" s="426"/>
      <c r="F14" s="426"/>
      <c r="J14" s="426"/>
      <c r="K14" s="426"/>
      <c r="O14" s="426"/>
      <c r="P14" s="426"/>
      <c r="T14" s="426"/>
      <c r="U14" s="426"/>
      <c r="Y14" s="426"/>
      <c r="Z14" s="426"/>
      <c r="AC14" s="128"/>
      <c r="AD14" s="426"/>
      <c r="AE14" s="426"/>
    </row>
    <row r="15" spans="1:31" ht="12.75">
      <c r="A15" s="112" t="s">
        <v>11</v>
      </c>
      <c r="B15" s="133" t="s">
        <v>16</v>
      </c>
      <c r="C15" s="448">
        <v>38</v>
      </c>
      <c r="D15" s="174">
        <v>1185803</v>
      </c>
      <c r="E15" s="428">
        <v>0.6991973766114424</v>
      </c>
      <c r="F15" s="449">
        <v>0.610185111117451</v>
      </c>
      <c r="G15" s="425"/>
      <c r="H15" s="442">
        <v>584</v>
      </c>
      <c r="I15" s="174">
        <v>15408536</v>
      </c>
      <c r="J15" s="428">
        <v>1.0363707757709073</v>
      </c>
      <c r="K15" s="449">
        <v>0.9427090644030277</v>
      </c>
      <c r="M15" s="442">
        <v>34</v>
      </c>
      <c r="N15" s="174">
        <v>1411062</v>
      </c>
      <c r="O15" s="428">
        <v>0.6673252250701535</v>
      </c>
      <c r="P15" s="449">
        <v>0.8135976706947321</v>
      </c>
      <c r="R15" s="427">
        <v>56</v>
      </c>
      <c r="S15" s="174">
        <v>2040934</v>
      </c>
      <c r="T15" s="428">
        <v>1.3745313093687068</v>
      </c>
      <c r="U15" s="449">
        <v>1.3654135511873846</v>
      </c>
      <c r="W15" s="427">
        <v>30</v>
      </c>
      <c r="X15" s="174">
        <v>1094457</v>
      </c>
      <c r="Y15" s="428">
        <v>1.7328599929992456</v>
      </c>
      <c r="Z15" s="449">
        <v>1.4954802586055667</v>
      </c>
      <c r="AB15" s="427">
        <v>742</v>
      </c>
      <c r="AC15" s="174">
        <v>21140792</v>
      </c>
      <c r="AD15" s="428">
        <v>1.0208346996627886</v>
      </c>
      <c r="AE15" s="449">
        <v>0.9501807534347151</v>
      </c>
    </row>
    <row r="16" spans="2:31" ht="12.75">
      <c r="B16" s="134" t="s">
        <v>17</v>
      </c>
      <c r="C16" s="443">
        <v>96</v>
      </c>
      <c r="D16" s="175">
        <v>3673765</v>
      </c>
      <c r="E16" s="431">
        <v>0.9185833722056774</v>
      </c>
      <c r="F16" s="432">
        <v>0.8517315700935111</v>
      </c>
      <c r="G16" s="425"/>
      <c r="H16" s="443">
        <v>616</v>
      </c>
      <c r="I16" s="175">
        <v>18274297</v>
      </c>
      <c r="J16" s="431">
        <v>1.0089695757345192</v>
      </c>
      <c r="K16" s="432">
        <v>0.8899887014942545</v>
      </c>
      <c r="M16" s="443">
        <v>56</v>
      </c>
      <c r="N16" s="175">
        <v>2620998</v>
      </c>
      <c r="O16" s="431">
        <v>0.8969691572350088</v>
      </c>
      <c r="P16" s="432">
        <v>0.9236828896535636</v>
      </c>
      <c r="R16" s="430">
        <v>68</v>
      </c>
      <c r="S16" s="175">
        <v>2946313</v>
      </c>
      <c r="T16" s="431">
        <v>0.907614094766387</v>
      </c>
      <c r="U16" s="432">
        <v>0.8921811684142951</v>
      </c>
      <c r="W16" s="430">
        <v>32</v>
      </c>
      <c r="X16" s="175">
        <v>1494878</v>
      </c>
      <c r="Y16" s="431">
        <v>1.3432611526356055</v>
      </c>
      <c r="Z16" s="432">
        <v>1.3614393370147204</v>
      </c>
      <c r="AB16" s="430">
        <v>868</v>
      </c>
      <c r="AC16" s="175">
        <v>29010251</v>
      </c>
      <c r="AD16" s="431">
        <v>0.9906307671359036</v>
      </c>
      <c r="AE16" s="432">
        <v>0.9041854479633917</v>
      </c>
    </row>
    <row r="17" spans="2:31" ht="12.75">
      <c r="B17" s="134" t="s">
        <v>18</v>
      </c>
      <c r="C17" s="443">
        <v>135</v>
      </c>
      <c r="D17" s="175">
        <v>5204696</v>
      </c>
      <c r="E17" s="431">
        <v>0.7071013401927381</v>
      </c>
      <c r="F17" s="432">
        <v>0.6334505425864062</v>
      </c>
      <c r="G17" s="425"/>
      <c r="H17" s="443">
        <v>890</v>
      </c>
      <c r="I17" s="175">
        <v>29352328</v>
      </c>
      <c r="J17" s="431">
        <v>0.9105793854976489</v>
      </c>
      <c r="K17" s="432">
        <v>0.8337530599027831</v>
      </c>
      <c r="M17" s="443">
        <v>99</v>
      </c>
      <c r="N17" s="175">
        <v>4367930</v>
      </c>
      <c r="O17" s="431">
        <v>0.8954968718666091</v>
      </c>
      <c r="P17" s="432">
        <v>0.8621309323514218</v>
      </c>
      <c r="R17" s="430">
        <v>125</v>
      </c>
      <c r="S17" s="175">
        <v>5539642</v>
      </c>
      <c r="T17" s="431">
        <v>0.8717269790155092</v>
      </c>
      <c r="U17" s="432">
        <v>0.8463833391054963</v>
      </c>
      <c r="W17" s="430">
        <v>50</v>
      </c>
      <c r="X17" s="175">
        <v>2418194</v>
      </c>
      <c r="Y17" s="431">
        <v>1.2794873861736022</v>
      </c>
      <c r="Z17" s="432">
        <v>1.3606890125036697</v>
      </c>
      <c r="AB17" s="430">
        <v>1299</v>
      </c>
      <c r="AC17" s="175">
        <v>46882790</v>
      </c>
      <c r="AD17" s="431">
        <v>0.8889072585744259</v>
      </c>
      <c r="AE17" s="432">
        <v>0.8252534012889992</v>
      </c>
    </row>
    <row r="18" spans="2:31" ht="12.75">
      <c r="B18" s="134" t="s">
        <v>19</v>
      </c>
      <c r="C18" s="443">
        <v>214</v>
      </c>
      <c r="D18" s="175">
        <v>9102208</v>
      </c>
      <c r="E18" s="431">
        <v>0.8053425370186624</v>
      </c>
      <c r="F18" s="432">
        <v>0.7800657144960883</v>
      </c>
      <c r="G18" s="425"/>
      <c r="H18" s="443">
        <v>1343</v>
      </c>
      <c r="I18" s="175">
        <v>44245530</v>
      </c>
      <c r="J18" s="431">
        <v>0.9295414116097557</v>
      </c>
      <c r="K18" s="432">
        <v>0.8540654133441764</v>
      </c>
      <c r="M18" s="443">
        <v>130</v>
      </c>
      <c r="N18" s="175">
        <v>5650942</v>
      </c>
      <c r="O18" s="431">
        <v>0.7941116498988979</v>
      </c>
      <c r="P18" s="432">
        <v>0.7817284937559672</v>
      </c>
      <c r="R18" s="430">
        <v>227</v>
      </c>
      <c r="S18" s="175">
        <v>10206834</v>
      </c>
      <c r="T18" s="431">
        <v>1.0183713290517449</v>
      </c>
      <c r="U18" s="432">
        <v>1.016023646806318</v>
      </c>
      <c r="W18" s="430">
        <v>83</v>
      </c>
      <c r="X18" s="175">
        <v>3596462</v>
      </c>
      <c r="Y18" s="431">
        <v>1.4568572780113733</v>
      </c>
      <c r="Z18" s="432">
        <v>1.4453253224741844</v>
      </c>
      <c r="AB18" s="430">
        <v>1997</v>
      </c>
      <c r="AC18" s="175">
        <v>72801976</v>
      </c>
      <c r="AD18" s="431">
        <v>0.9270668436502404</v>
      </c>
      <c r="AE18" s="432">
        <v>0.8746318252328245</v>
      </c>
    </row>
    <row r="19" spans="2:31" ht="12.75">
      <c r="B19" s="134" t="s">
        <v>104</v>
      </c>
      <c r="C19" s="443">
        <v>271</v>
      </c>
      <c r="D19" s="175">
        <v>10282591</v>
      </c>
      <c r="E19" s="431">
        <v>0.8477714653388819</v>
      </c>
      <c r="F19" s="432">
        <v>0.7583105569165939</v>
      </c>
      <c r="G19" s="425"/>
      <c r="H19" s="443">
        <v>1891</v>
      </c>
      <c r="I19" s="175">
        <v>59383711</v>
      </c>
      <c r="J19" s="431">
        <v>0.9475605272200758</v>
      </c>
      <c r="K19" s="432">
        <v>0.8998312436822369</v>
      </c>
      <c r="M19" s="443">
        <v>207</v>
      </c>
      <c r="N19" s="175">
        <v>8705176</v>
      </c>
      <c r="O19" s="431">
        <v>0.9467797710210849</v>
      </c>
      <c r="P19" s="432">
        <v>0.9503655684270284</v>
      </c>
      <c r="R19" s="430">
        <v>306</v>
      </c>
      <c r="S19" s="175">
        <v>13298846</v>
      </c>
      <c r="T19" s="431">
        <v>1.031537888824892</v>
      </c>
      <c r="U19" s="432">
        <v>1.043979057246922</v>
      </c>
      <c r="W19" s="430">
        <v>131</v>
      </c>
      <c r="X19" s="175">
        <v>4447744</v>
      </c>
      <c r="Y19" s="431">
        <v>1.4670825864464423</v>
      </c>
      <c r="Z19" s="432">
        <v>1.3955700828172026</v>
      </c>
      <c r="AB19" s="430">
        <v>2806</v>
      </c>
      <c r="AC19" s="175">
        <v>96118068</v>
      </c>
      <c r="AD19" s="431">
        <v>0.9609965310730773</v>
      </c>
      <c r="AE19" s="432">
        <v>0.9185628531095114</v>
      </c>
    </row>
    <row r="20" spans="2:31" ht="12.75">
      <c r="B20" s="134" t="s">
        <v>105</v>
      </c>
      <c r="C20" s="443">
        <v>292</v>
      </c>
      <c r="D20" s="175">
        <v>11340290</v>
      </c>
      <c r="E20" s="431">
        <v>0.8260901915086442</v>
      </c>
      <c r="F20" s="432">
        <v>0.7900525213717519</v>
      </c>
      <c r="G20" s="425"/>
      <c r="H20" s="443">
        <v>2308</v>
      </c>
      <c r="I20" s="175">
        <v>65253132</v>
      </c>
      <c r="J20" s="431">
        <v>0.9663473755288549</v>
      </c>
      <c r="K20" s="432">
        <v>0.9127673403485164</v>
      </c>
      <c r="M20" s="443">
        <v>268</v>
      </c>
      <c r="N20" s="175">
        <v>10046481</v>
      </c>
      <c r="O20" s="431">
        <v>1.0829968802820105</v>
      </c>
      <c r="P20" s="432">
        <v>1.0537710341389734</v>
      </c>
      <c r="R20" s="430">
        <v>400</v>
      </c>
      <c r="S20" s="175">
        <v>15735495</v>
      </c>
      <c r="T20" s="431">
        <v>1.1396331856967021</v>
      </c>
      <c r="U20" s="432">
        <v>1.1083768504440121</v>
      </c>
      <c r="W20" s="430">
        <v>120</v>
      </c>
      <c r="X20" s="175">
        <v>4074082</v>
      </c>
      <c r="Y20" s="431">
        <v>1.1846403091437356</v>
      </c>
      <c r="Z20" s="432">
        <v>1.1767847914397578</v>
      </c>
      <c r="AB20" s="430">
        <v>3388</v>
      </c>
      <c r="AC20" s="175">
        <v>106449480</v>
      </c>
      <c r="AD20" s="431">
        <v>0.9844271184496673</v>
      </c>
      <c r="AE20" s="432">
        <v>0.9417312451853403</v>
      </c>
    </row>
    <row r="21" spans="2:31" ht="12.75">
      <c r="B21" s="134" t="s">
        <v>106</v>
      </c>
      <c r="C21" s="443">
        <v>327</v>
      </c>
      <c r="D21" s="175">
        <v>11690287</v>
      </c>
      <c r="E21" s="431">
        <v>0.8675343265690536</v>
      </c>
      <c r="F21" s="432">
        <v>0.8539343297297114</v>
      </c>
      <c r="G21" s="425"/>
      <c r="H21" s="443">
        <v>2683</v>
      </c>
      <c r="I21" s="175">
        <v>61955862</v>
      </c>
      <c r="J21" s="431">
        <v>1.019254321971679</v>
      </c>
      <c r="K21" s="432">
        <v>0.9130195842922966</v>
      </c>
      <c r="M21" s="443">
        <v>289</v>
      </c>
      <c r="N21" s="175">
        <v>9208651</v>
      </c>
      <c r="O21" s="431">
        <v>1.056878648974099</v>
      </c>
      <c r="P21" s="432">
        <v>1.0243204765641187</v>
      </c>
      <c r="R21" s="430">
        <v>380</v>
      </c>
      <c r="S21" s="175">
        <v>12609865</v>
      </c>
      <c r="T21" s="431">
        <v>1.0654614764598749</v>
      </c>
      <c r="U21" s="432">
        <v>1.0163662122442079</v>
      </c>
      <c r="W21" s="430">
        <v>144</v>
      </c>
      <c r="X21" s="175">
        <v>4010783</v>
      </c>
      <c r="Y21" s="431">
        <v>1.3548549533685272</v>
      </c>
      <c r="Z21" s="432">
        <v>1.213139602385115</v>
      </c>
      <c r="AB21" s="430">
        <v>3823</v>
      </c>
      <c r="AC21" s="175">
        <v>99475448</v>
      </c>
      <c r="AD21" s="431">
        <v>1.0206558014407987</v>
      </c>
      <c r="AE21" s="432">
        <v>0.9362302593080116</v>
      </c>
    </row>
    <row r="22" spans="2:31" ht="12.75">
      <c r="B22" s="134" t="s">
        <v>107</v>
      </c>
      <c r="C22" s="443">
        <v>354</v>
      </c>
      <c r="D22" s="175">
        <v>11559473</v>
      </c>
      <c r="E22" s="431">
        <v>0.9148254125474975</v>
      </c>
      <c r="F22" s="432">
        <v>0.8541620872885792</v>
      </c>
      <c r="G22" s="425"/>
      <c r="H22" s="443">
        <v>2515</v>
      </c>
      <c r="I22" s="175">
        <v>51879646</v>
      </c>
      <c r="J22" s="431">
        <v>0.9476107750119649</v>
      </c>
      <c r="K22" s="432">
        <v>0.8539811926425405</v>
      </c>
      <c r="M22" s="443">
        <v>339</v>
      </c>
      <c r="N22" s="175">
        <v>9816759</v>
      </c>
      <c r="O22" s="431">
        <v>1.1883450066321177</v>
      </c>
      <c r="P22" s="432">
        <v>1.1547636514434951</v>
      </c>
      <c r="R22" s="430">
        <v>418</v>
      </c>
      <c r="S22" s="175">
        <v>12274746</v>
      </c>
      <c r="T22" s="431">
        <v>1.1621066491405416</v>
      </c>
      <c r="U22" s="432">
        <v>1.1816673490213963</v>
      </c>
      <c r="W22" s="430">
        <v>114</v>
      </c>
      <c r="X22" s="175">
        <v>3616034</v>
      </c>
      <c r="Y22" s="431">
        <v>1.1770531627418461</v>
      </c>
      <c r="Z22" s="432">
        <v>1.223087086868744</v>
      </c>
      <c r="AB22" s="430">
        <v>3740</v>
      </c>
      <c r="AC22" s="175">
        <v>89146658</v>
      </c>
      <c r="AD22" s="431">
        <v>0.9886812701692818</v>
      </c>
      <c r="AE22" s="432">
        <v>0.9273679561916924</v>
      </c>
    </row>
    <row r="23" spans="2:31" ht="12.75">
      <c r="B23" s="134" t="s">
        <v>108</v>
      </c>
      <c r="C23" s="443">
        <v>299</v>
      </c>
      <c r="D23" s="175">
        <v>9100186</v>
      </c>
      <c r="E23" s="431">
        <v>0.9120068631719126</v>
      </c>
      <c r="F23" s="432">
        <v>0.9064568364819242</v>
      </c>
      <c r="G23" s="425"/>
      <c r="H23" s="443">
        <v>2581</v>
      </c>
      <c r="I23" s="175">
        <v>47254044</v>
      </c>
      <c r="J23" s="431">
        <v>0.9694374131957262</v>
      </c>
      <c r="K23" s="432">
        <v>0.912376967706105</v>
      </c>
      <c r="M23" s="443">
        <v>271</v>
      </c>
      <c r="N23" s="175">
        <v>6478730</v>
      </c>
      <c r="O23" s="431">
        <v>1.103694411372076</v>
      </c>
      <c r="P23" s="432">
        <v>1.0207337239032024</v>
      </c>
      <c r="R23" s="430">
        <v>366</v>
      </c>
      <c r="S23" s="175">
        <v>8309546</v>
      </c>
      <c r="T23" s="431">
        <v>1.2080179119350973</v>
      </c>
      <c r="U23" s="432">
        <v>1.1343989517812572</v>
      </c>
      <c r="W23" s="430">
        <v>108</v>
      </c>
      <c r="X23" s="175">
        <v>2954286</v>
      </c>
      <c r="Y23" s="431">
        <v>1.2770217204840648</v>
      </c>
      <c r="Z23" s="432">
        <v>1.2990848631383711</v>
      </c>
      <c r="AB23" s="430">
        <v>3625</v>
      </c>
      <c r="AC23" s="175">
        <v>74096792</v>
      </c>
      <c r="AD23" s="431">
        <v>1.0004681666636588</v>
      </c>
      <c r="AE23" s="432">
        <v>0.9526721068638078</v>
      </c>
    </row>
    <row r="24" spans="2:31" ht="12.75">
      <c r="B24" s="134" t="s">
        <v>109</v>
      </c>
      <c r="C24" s="443">
        <v>162</v>
      </c>
      <c r="D24" s="175">
        <v>4771908</v>
      </c>
      <c r="E24" s="431">
        <v>0.948887695685388</v>
      </c>
      <c r="F24" s="432">
        <v>0.9684088218070319</v>
      </c>
      <c r="G24" s="425"/>
      <c r="H24" s="443">
        <v>1416</v>
      </c>
      <c r="I24" s="175">
        <v>24477498</v>
      </c>
      <c r="J24" s="431">
        <v>0.862980959903595</v>
      </c>
      <c r="K24" s="432">
        <v>0.8068483100365677</v>
      </c>
      <c r="M24" s="443">
        <v>135</v>
      </c>
      <c r="N24" s="175">
        <v>2773378</v>
      </c>
      <c r="O24" s="431">
        <v>0.9827809497740696</v>
      </c>
      <c r="P24" s="432">
        <v>0.9502731345686498</v>
      </c>
      <c r="R24" s="430">
        <v>227</v>
      </c>
      <c r="S24" s="175">
        <v>4523337</v>
      </c>
      <c r="T24" s="431">
        <v>1.3338984675269447</v>
      </c>
      <c r="U24" s="432">
        <v>1.3659504558539413</v>
      </c>
      <c r="W24" s="430">
        <v>61</v>
      </c>
      <c r="X24" s="175">
        <v>1513858</v>
      </c>
      <c r="Y24" s="431">
        <v>1.1618481079779726</v>
      </c>
      <c r="Z24" s="432">
        <v>1.1430791568055103</v>
      </c>
      <c r="AB24" s="430">
        <v>2001</v>
      </c>
      <c r="AC24" s="175">
        <v>38059979</v>
      </c>
      <c r="AD24" s="431">
        <v>0.9214420716699627</v>
      </c>
      <c r="AE24" s="432">
        <v>0.8888547833992079</v>
      </c>
    </row>
    <row r="25" spans="2:31" ht="12.75">
      <c r="B25" s="134" t="s">
        <v>110</v>
      </c>
      <c r="C25" s="443">
        <v>61</v>
      </c>
      <c r="D25" s="175">
        <v>1966930</v>
      </c>
      <c r="E25" s="431">
        <v>1.1615671330580846</v>
      </c>
      <c r="F25" s="432">
        <v>1.3159330094942974</v>
      </c>
      <c r="G25" s="425"/>
      <c r="H25" s="443">
        <v>576</v>
      </c>
      <c r="I25" s="175">
        <v>12830837</v>
      </c>
      <c r="J25" s="431">
        <v>0.9289069904621431</v>
      </c>
      <c r="K25" s="432">
        <v>0.9464429488198668</v>
      </c>
      <c r="M25" s="443">
        <v>60</v>
      </c>
      <c r="N25" s="175">
        <v>1322423</v>
      </c>
      <c r="O25" s="431">
        <v>1.3731067432585597</v>
      </c>
      <c r="P25" s="432">
        <v>1.3623847812311607</v>
      </c>
      <c r="R25" s="430">
        <v>89</v>
      </c>
      <c r="S25" s="175">
        <v>1497591</v>
      </c>
      <c r="T25" s="431">
        <v>1.3066285855393185</v>
      </c>
      <c r="U25" s="432">
        <v>1.2377525104178235</v>
      </c>
      <c r="W25" s="430">
        <v>24</v>
      </c>
      <c r="X25" s="175">
        <v>603202</v>
      </c>
      <c r="Y25" s="431">
        <v>1.4013493826764027</v>
      </c>
      <c r="Z25" s="432">
        <v>1.391115647392383</v>
      </c>
      <c r="AB25" s="430">
        <v>810</v>
      </c>
      <c r="AC25" s="175">
        <v>18220983</v>
      </c>
      <c r="AD25" s="431">
        <v>1.0105597505429547</v>
      </c>
      <c r="AE25" s="432">
        <v>1.0314261611363398</v>
      </c>
    </row>
    <row r="26" spans="2:31" ht="12.75">
      <c r="B26" s="134" t="s">
        <v>111</v>
      </c>
      <c r="C26" s="443">
        <v>18</v>
      </c>
      <c r="D26" s="175">
        <v>442976</v>
      </c>
      <c r="E26" s="431">
        <v>0.9732139091731902</v>
      </c>
      <c r="F26" s="432">
        <v>0.8855233751617894</v>
      </c>
      <c r="G26" s="425"/>
      <c r="H26" s="443">
        <v>139</v>
      </c>
      <c r="I26" s="175">
        <v>3017582</v>
      </c>
      <c r="J26" s="431">
        <v>0.96738654608901</v>
      </c>
      <c r="K26" s="432">
        <v>0.9173268868064801</v>
      </c>
      <c r="M26" s="443">
        <v>10</v>
      </c>
      <c r="N26" s="175">
        <v>209230</v>
      </c>
      <c r="O26" s="431">
        <v>0.8245613745767942</v>
      </c>
      <c r="P26" s="432">
        <v>0.6648033513766219</v>
      </c>
      <c r="R26" s="430">
        <v>14</v>
      </c>
      <c r="S26" s="175">
        <v>289477</v>
      </c>
      <c r="T26" s="431">
        <v>1.6230491528842745</v>
      </c>
      <c r="U26" s="432">
        <v>1.6496225241601337</v>
      </c>
      <c r="W26" s="430">
        <v>6</v>
      </c>
      <c r="X26" s="175">
        <v>94841</v>
      </c>
      <c r="Y26" s="431">
        <v>0.978192821368948</v>
      </c>
      <c r="Z26" s="432">
        <v>0.4533540014790816</v>
      </c>
      <c r="AB26" s="430">
        <v>187</v>
      </c>
      <c r="AC26" s="175">
        <v>4054106</v>
      </c>
      <c r="AD26" s="431">
        <v>0.9890585791364277</v>
      </c>
      <c r="AE26" s="432">
        <v>0.903082985268225</v>
      </c>
    </row>
    <row r="27" spans="2:31" ht="12.75">
      <c r="B27" s="134" t="s">
        <v>112</v>
      </c>
      <c r="C27" s="443">
        <v>3</v>
      </c>
      <c r="D27" s="175">
        <v>88128</v>
      </c>
      <c r="E27" s="431">
        <v>0.615939276599851</v>
      </c>
      <c r="F27" s="432">
        <v>0.44287733233556076</v>
      </c>
      <c r="G27" s="425"/>
      <c r="H27" s="443">
        <v>27</v>
      </c>
      <c r="I27" s="175">
        <v>941809</v>
      </c>
      <c r="J27" s="431">
        <v>0.8055202601770775</v>
      </c>
      <c r="K27" s="432">
        <v>0.9448367815837819</v>
      </c>
      <c r="M27" s="443">
        <v>0</v>
      </c>
      <c r="N27" s="175">
        <v>0</v>
      </c>
      <c r="O27" s="431">
        <v>0</v>
      </c>
      <c r="P27" s="432">
        <v>0</v>
      </c>
      <c r="R27" s="430">
        <v>1</v>
      </c>
      <c r="S27" s="175">
        <v>30000</v>
      </c>
      <c r="T27" s="431">
        <v>1.3351669626286766</v>
      </c>
      <c r="U27" s="432">
        <v>1.7605871657729715</v>
      </c>
      <c r="W27" s="430">
        <v>3</v>
      </c>
      <c r="X27" s="175">
        <v>61867</v>
      </c>
      <c r="Y27" s="431">
        <v>3.1144562678432397</v>
      </c>
      <c r="Z27" s="432">
        <v>4.123933466813009</v>
      </c>
      <c r="AB27" s="430">
        <v>34</v>
      </c>
      <c r="AC27" s="175">
        <v>1121804</v>
      </c>
      <c r="AD27" s="431">
        <v>0.818975173008505</v>
      </c>
      <c r="AE27" s="432">
        <v>0.8936812708892344</v>
      </c>
    </row>
    <row r="28" spans="2:31" ht="12.75">
      <c r="B28" s="134" t="s">
        <v>113</v>
      </c>
      <c r="C28" s="443">
        <v>1</v>
      </c>
      <c r="D28" s="175">
        <v>8238</v>
      </c>
      <c r="E28" s="431">
        <v>1.1432229742088897</v>
      </c>
      <c r="F28" s="432">
        <v>1.035752347987583</v>
      </c>
      <c r="G28" s="425"/>
      <c r="H28" s="443">
        <v>7</v>
      </c>
      <c r="I28" s="175">
        <v>319351</v>
      </c>
      <c r="J28" s="431">
        <v>1.2885435592150194</v>
      </c>
      <c r="K28" s="432">
        <v>1.674492784832749</v>
      </c>
      <c r="M28" s="443">
        <v>1</v>
      </c>
      <c r="N28" s="175">
        <v>25000</v>
      </c>
      <c r="O28" s="431">
        <v>1.1884388667046966</v>
      </c>
      <c r="P28" s="432">
        <v>0.8387854386847844</v>
      </c>
      <c r="R28" s="430"/>
      <c r="S28" s="175"/>
      <c r="T28" s="431"/>
      <c r="U28" s="432"/>
      <c r="W28" s="430">
        <v>0</v>
      </c>
      <c r="X28" s="175">
        <v>0</v>
      </c>
      <c r="Y28" s="431">
        <v>0</v>
      </c>
      <c r="Z28" s="432">
        <v>0</v>
      </c>
      <c r="AB28" s="430">
        <v>9</v>
      </c>
      <c r="AC28" s="175">
        <v>352589</v>
      </c>
      <c r="AD28" s="431">
        <v>1.2236723494917003</v>
      </c>
      <c r="AE28" s="432">
        <v>1.5091766473306967</v>
      </c>
    </row>
    <row r="29" spans="2:31" ht="12.75">
      <c r="B29" s="135" t="s">
        <v>114</v>
      </c>
      <c r="C29" s="444"/>
      <c r="D29" s="176"/>
      <c r="E29" s="434"/>
      <c r="F29" s="435"/>
      <c r="G29" s="425"/>
      <c r="H29" s="444">
        <v>0</v>
      </c>
      <c r="I29" s="176">
        <v>0</v>
      </c>
      <c r="J29" s="434">
        <v>0</v>
      </c>
      <c r="K29" s="435">
        <v>0</v>
      </c>
      <c r="M29" s="444"/>
      <c r="N29" s="176"/>
      <c r="O29" s="434"/>
      <c r="P29" s="435"/>
      <c r="R29" s="444"/>
      <c r="S29" s="176"/>
      <c r="T29" s="434"/>
      <c r="U29" s="435"/>
      <c r="W29" s="444"/>
      <c r="X29" s="176"/>
      <c r="Y29" s="434"/>
      <c r="Z29" s="435"/>
      <c r="AB29" s="444">
        <v>0</v>
      </c>
      <c r="AC29" s="176">
        <v>0</v>
      </c>
      <c r="AD29" s="434">
        <v>0</v>
      </c>
      <c r="AE29" s="435">
        <v>0</v>
      </c>
    </row>
    <row r="30" spans="5:31" ht="12.75">
      <c r="E30" s="426"/>
      <c r="F30" s="426"/>
      <c r="J30" s="426"/>
      <c r="K30" s="426"/>
      <c r="O30" s="426"/>
      <c r="P30" s="426"/>
      <c r="T30" s="426"/>
      <c r="U30" s="426"/>
      <c r="Y30" s="426"/>
      <c r="Z30" s="426"/>
      <c r="AC30" s="128"/>
      <c r="AD30" s="426"/>
      <c r="AE30" s="426"/>
    </row>
    <row r="31" spans="1:31" ht="12.75">
      <c r="A31" s="139" t="s">
        <v>28</v>
      </c>
      <c r="B31" s="133" t="s">
        <v>115</v>
      </c>
      <c r="C31" s="448">
        <v>10</v>
      </c>
      <c r="D31" s="174">
        <v>363300</v>
      </c>
      <c r="E31" s="428">
        <v>0.9275121434527384</v>
      </c>
      <c r="F31" s="450">
        <v>0.7707134689904115</v>
      </c>
      <c r="G31" s="425"/>
      <c r="H31" s="442">
        <v>96</v>
      </c>
      <c r="I31" s="174">
        <v>3546785</v>
      </c>
      <c r="J31" s="428">
        <v>1.861441290723391</v>
      </c>
      <c r="K31" s="450">
        <v>1.6174657206748835</v>
      </c>
      <c r="M31" s="442">
        <v>9</v>
      </c>
      <c r="N31" s="174">
        <v>483120</v>
      </c>
      <c r="O31" s="428">
        <v>1.4178877568543076</v>
      </c>
      <c r="P31" s="450">
        <v>1.6641198733790514</v>
      </c>
      <c r="R31" s="427">
        <v>15</v>
      </c>
      <c r="S31" s="174">
        <v>467000</v>
      </c>
      <c r="T31" s="428">
        <v>2.128323732228496</v>
      </c>
      <c r="U31" s="450">
        <v>1.8880406228239408</v>
      </c>
      <c r="W31" s="427">
        <v>16</v>
      </c>
      <c r="X31" s="174">
        <v>584570</v>
      </c>
      <c r="Y31" s="428">
        <v>1.8198962431654364</v>
      </c>
      <c r="Z31" s="450">
        <v>1.7234951343665452</v>
      </c>
      <c r="AB31" s="427">
        <v>146</v>
      </c>
      <c r="AC31" s="174">
        <v>5444775</v>
      </c>
      <c r="AD31" s="428">
        <v>1.7269635190785135</v>
      </c>
      <c r="AE31" s="450">
        <v>1.537627133688286</v>
      </c>
    </row>
    <row r="32" spans="2:31" ht="12.75">
      <c r="B32" s="134" t="s">
        <v>116</v>
      </c>
      <c r="C32" s="443">
        <v>20</v>
      </c>
      <c r="D32" s="175">
        <v>812500</v>
      </c>
      <c r="E32" s="431">
        <v>1.197281452733421</v>
      </c>
      <c r="F32" s="431">
        <v>1.0657301214447628</v>
      </c>
      <c r="G32" s="425"/>
      <c r="H32" s="443">
        <v>73</v>
      </c>
      <c r="I32" s="175">
        <v>2499411</v>
      </c>
      <c r="J32" s="431">
        <v>1.1989212336669557</v>
      </c>
      <c r="K32" s="431">
        <v>1.014199456009484</v>
      </c>
      <c r="M32" s="443">
        <v>13</v>
      </c>
      <c r="N32" s="175">
        <v>552800</v>
      </c>
      <c r="O32" s="431">
        <v>1.3127494223902532</v>
      </c>
      <c r="P32" s="431">
        <v>1.2227397041786552</v>
      </c>
      <c r="R32" s="430">
        <v>24</v>
      </c>
      <c r="S32" s="175">
        <v>650000</v>
      </c>
      <c r="T32" s="431">
        <v>2.198792862718369</v>
      </c>
      <c r="U32" s="431">
        <v>1.825971221563075</v>
      </c>
      <c r="W32" s="430">
        <v>19</v>
      </c>
      <c r="X32" s="175">
        <v>619135</v>
      </c>
      <c r="Y32" s="431">
        <v>2.00271103831081</v>
      </c>
      <c r="Z32" s="431">
        <v>1.7791591224742198</v>
      </c>
      <c r="AB32" s="430">
        <v>149</v>
      </c>
      <c r="AC32" s="175">
        <v>5133846</v>
      </c>
      <c r="AD32" s="431">
        <v>1.380937940463596</v>
      </c>
      <c r="AE32" s="431">
        <v>1.1713425727753597</v>
      </c>
    </row>
    <row r="33" spans="2:31" ht="12.75">
      <c r="B33" s="134" t="s">
        <v>117</v>
      </c>
      <c r="C33" s="443">
        <v>26</v>
      </c>
      <c r="D33" s="175">
        <v>1145610</v>
      </c>
      <c r="E33" s="431">
        <v>1.2120669657675</v>
      </c>
      <c r="F33" s="431">
        <v>1.1685182174863593</v>
      </c>
      <c r="G33" s="425"/>
      <c r="H33" s="443">
        <v>95</v>
      </c>
      <c r="I33" s="175">
        <v>3572306</v>
      </c>
      <c r="J33" s="431">
        <v>1.3342454890915607</v>
      </c>
      <c r="K33" s="431">
        <v>1.2465837564275528</v>
      </c>
      <c r="M33" s="443">
        <v>24</v>
      </c>
      <c r="N33" s="175">
        <v>1039372</v>
      </c>
      <c r="O33" s="431">
        <v>1.702967065326531</v>
      </c>
      <c r="P33" s="431">
        <v>1.690039466234391</v>
      </c>
      <c r="R33" s="430">
        <v>35</v>
      </c>
      <c r="S33" s="175">
        <v>1004589</v>
      </c>
      <c r="T33" s="431">
        <v>1.9342455972425427</v>
      </c>
      <c r="U33" s="431">
        <v>1.84505543660233</v>
      </c>
      <c r="W33" s="430">
        <v>24</v>
      </c>
      <c r="X33" s="175">
        <v>797000</v>
      </c>
      <c r="Y33" s="431">
        <v>2.478296831807287</v>
      </c>
      <c r="Z33" s="431">
        <v>2.239387329970931</v>
      </c>
      <c r="AB33" s="430">
        <v>204</v>
      </c>
      <c r="AC33" s="175">
        <v>7558877</v>
      </c>
      <c r="AD33" s="431">
        <v>1.5164548734250771</v>
      </c>
      <c r="AE33" s="431">
        <v>1.409857355462549</v>
      </c>
    </row>
    <row r="34" spans="2:31" ht="12.75">
      <c r="B34" s="134" t="s">
        <v>118</v>
      </c>
      <c r="C34" s="443">
        <v>56</v>
      </c>
      <c r="D34" s="175">
        <v>2570967</v>
      </c>
      <c r="E34" s="431">
        <v>1.0057664542044904</v>
      </c>
      <c r="F34" s="431">
        <v>0.9889227321488097</v>
      </c>
      <c r="G34" s="425"/>
      <c r="H34" s="443">
        <v>241</v>
      </c>
      <c r="I34" s="175">
        <v>7709386</v>
      </c>
      <c r="J34" s="431">
        <v>1.135960576040421</v>
      </c>
      <c r="K34" s="431">
        <v>1.0975903160408695</v>
      </c>
      <c r="M34" s="443">
        <v>41</v>
      </c>
      <c r="N34" s="175">
        <v>1815394</v>
      </c>
      <c r="O34" s="431">
        <v>1.069998799513543</v>
      </c>
      <c r="P34" s="431">
        <v>1.1802384111264927</v>
      </c>
      <c r="R34" s="430">
        <v>97</v>
      </c>
      <c r="S34" s="175">
        <v>2038628</v>
      </c>
      <c r="T34" s="431">
        <v>1.9043161620294256</v>
      </c>
      <c r="U34" s="431">
        <v>1.3498428569646113</v>
      </c>
      <c r="W34" s="430">
        <v>50</v>
      </c>
      <c r="X34" s="175">
        <v>1777040</v>
      </c>
      <c r="Y34" s="431">
        <v>1.5801737495848132</v>
      </c>
      <c r="Z34" s="431">
        <v>1.422747561725922</v>
      </c>
      <c r="AB34" s="430">
        <v>485</v>
      </c>
      <c r="AC34" s="175">
        <v>15911415</v>
      </c>
      <c r="AD34" s="431">
        <v>1.2476494348958387</v>
      </c>
      <c r="AE34" s="431">
        <v>1.1429683104675386</v>
      </c>
    </row>
    <row r="35" spans="2:31" ht="12.75">
      <c r="B35" s="134" t="s">
        <v>119</v>
      </c>
      <c r="C35" s="443">
        <v>154</v>
      </c>
      <c r="D35" s="175">
        <v>5734936</v>
      </c>
      <c r="E35" s="431">
        <v>0.8551815561549932</v>
      </c>
      <c r="F35" s="431">
        <v>0.7629995992041632</v>
      </c>
      <c r="G35" s="425"/>
      <c r="H35" s="443">
        <v>1128</v>
      </c>
      <c r="I35" s="175">
        <v>30893253</v>
      </c>
      <c r="J35" s="431">
        <v>1.1643861111776952</v>
      </c>
      <c r="K35" s="431">
        <v>1.0444456441497383</v>
      </c>
      <c r="M35" s="443">
        <v>138</v>
      </c>
      <c r="N35" s="175">
        <v>5080466</v>
      </c>
      <c r="O35" s="431">
        <v>0.889136071580349</v>
      </c>
      <c r="P35" s="431">
        <v>0.7879602742742396</v>
      </c>
      <c r="R35" s="430">
        <v>393</v>
      </c>
      <c r="S35" s="175">
        <v>13940287</v>
      </c>
      <c r="T35" s="431">
        <v>1.2924447658272604</v>
      </c>
      <c r="U35" s="431">
        <v>1.1944514182815062</v>
      </c>
      <c r="W35" s="430">
        <v>150</v>
      </c>
      <c r="X35" s="175">
        <v>4992472</v>
      </c>
      <c r="Y35" s="431">
        <v>1.3919681027725268</v>
      </c>
      <c r="Z35" s="431">
        <v>1.299042168815188</v>
      </c>
      <c r="AB35" s="430">
        <v>1963</v>
      </c>
      <c r="AC35" s="175">
        <v>60641414</v>
      </c>
      <c r="AD35" s="431">
        <v>1.144024489094279</v>
      </c>
      <c r="AE35" s="431">
        <v>1.0268355670971157</v>
      </c>
    </row>
    <row r="36" spans="2:31" ht="12.75">
      <c r="B36" s="134" t="s">
        <v>34</v>
      </c>
      <c r="C36" s="443">
        <v>364</v>
      </c>
      <c r="D36" s="175">
        <v>13710864</v>
      </c>
      <c r="E36" s="431">
        <v>0.9433435630822383</v>
      </c>
      <c r="F36" s="431">
        <v>0.9098476257314994</v>
      </c>
      <c r="G36" s="425"/>
      <c r="H36" s="443">
        <v>2797</v>
      </c>
      <c r="I36" s="175">
        <v>69816699</v>
      </c>
      <c r="J36" s="431">
        <v>0.9895423977754304</v>
      </c>
      <c r="K36" s="431">
        <v>0.8860040210249325</v>
      </c>
      <c r="M36" s="443">
        <v>349</v>
      </c>
      <c r="N36" s="175">
        <v>11822696</v>
      </c>
      <c r="O36" s="431">
        <v>1.0749074347620486</v>
      </c>
      <c r="P36" s="431">
        <v>1.0069938384906378</v>
      </c>
      <c r="R36" s="430">
        <v>626</v>
      </c>
      <c r="S36" s="175">
        <v>22217141</v>
      </c>
      <c r="T36" s="431">
        <v>1.0861859392779047</v>
      </c>
      <c r="U36" s="431">
        <v>1.0289745558341397</v>
      </c>
      <c r="W36" s="430">
        <v>174</v>
      </c>
      <c r="X36" s="175">
        <v>5203519</v>
      </c>
      <c r="Y36" s="431">
        <v>1.1313247637433</v>
      </c>
      <c r="Z36" s="431">
        <v>1.070210710644664</v>
      </c>
      <c r="AB36" s="430">
        <v>4310</v>
      </c>
      <c r="AC36" s="175">
        <v>122770919</v>
      </c>
      <c r="AD36" s="431">
        <v>1.0100228338744341</v>
      </c>
      <c r="AE36" s="431">
        <v>0.9296376228724045</v>
      </c>
    </row>
    <row r="37" spans="2:31" ht="12.75">
      <c r="B37" s="134" t="s">
        <v>35</v>
      </c>
      <c r="C37" s="443">
        <v>743</v>
      </c>
      <c r="D37" s="175">
        <v>28047074</v>
      </c>
      <c r="E37" s="431">
        <v>0.8663183965661404</v>
      </c>
      <c r="F37" s="431">
        <v>0.8306016871033348</v>
      </c>
      <c r="G37" s="425"/>
      <c r="H37" s="443">
        <v>6767</v>
      </c>
      <c r="I37" s="175">
        <v>174386071</v>
      </c>
      <c r="J37" s="431">
        <v>0.9172189486114204</v>
      </c>
      <c r="K37" s="431">
        <v>0.8662209767031216</v>
      </c>
      <c r="M37" s="443">
        <v>592</v>
      </c>
      <c r="N37" s="175">
        <v>18911680</v>
      </c>
      <c r="O37" s="431">
        <v>1.0232762859108664</v>
      </c>
      <c r="P37" s="431">
        <v>0.9618384133043424</v>
      </c>
      <c r="R37" s="430">
        <v>836</v>
      </c>
      <c r="S37" s="175">
        <v>27447955</v>
      </c>
      <c r="T37" s="431">
        <v>1.0842594629782225</v>
      </c>
      <c r="U37" s="431">
        <v>1.0410278711941703</v>
      </c>
      <c r="W37" s="430">
        <v>255</v>
      </c>
      <c r="X37" s="175">
        <v>8358131</v>
      </c>
      <c r="Y37" s="431">
        <v>1.2454491045514</v>
      </c>
      <c r="Z37" s="431">
        <v>1.2501502535524696</v>
      </c>
      <c r="AB37" s="430">
        <v>9193</v>
      </c>
      <c r="AC37" s="175">
        <v>257150911</v>
      </c>
      <c r="AD37" s="431">
        <v>0.9390480288601895</v>
      </c>
      <c r="AE37" s="431">
        <v>0.8935076962645352</v>
      </c>
    </row>
    <row r="38" spans="2:31" ht="12.75">
      <c r="B38" s="135" t="s">
        <v>36</v>
      </c>
      <c r="C38" s="444">
        <v>898</v>
      </c>
      <c r="D38" s="176">
        <v>28032228</v>
      </c>
      <c r="E38" s="434">
        <v>0.8166249934808676</v>
      </c>
      <c r="F38" s="434">
        <v>0.751932317701148</v>
      </c>
      <c r="G38" s="425"/>
      <c r="H38" s="444">
        <v>6379</v>
      </c>
      <c r="I38" s="176">
        <v>142170252</v>
      </c>
      <c r="J38" s="434">
        <v>0.9375806773732179</v>
      </c>
      <c r="K38" s="434">
        <v>0.8569556606987209</v>
      </c>
      <c r="M38" s="444">
        <v>733</v>
      </c>
      <c r="N38" s="176">
        <v>22931232</v>
      </c>
      <c r="O38" s="434">
        <v>1.0091448208037606</v>
      </c>
      <c r="P38" s="434">
        <v>1.0007364013716271</v>
      </c>
      <c r="R38" s="433">
        <v>651</v>
      </c>
      <c r="S38" s="176">
        <v>21537026</v>
      </c>
      <c r="T38" s="434">
        <v>0.9891338105080998</v>
      </c>
      <c r="U38" s="434">
        <v>1.0319446939757182</v>
      </c>
      <c r="W38" s="433">
        <v>218</v>
      </c>
      <c r="X38" s="176">
        <v>7648821</v>
      </c>
      <c r="Y38" s="434">
        <v>1.3092975138362135</v>
      </c>
      <c r="Z38" s="434">
        <v>1.3694306018931945</v>
      </c>
      <c r="AB38" s="433">
        <v>8879</v>
      </c>
      <c r="AC38" s="176">
        <v>222319559</v>
      </c>
      <c r="AD38" s="434">
        <v>0.9391454272257741</v>
      </c>
      <c r="AE38" s="434">
        <v>0.8802926646833243</v>
      </c>
    </row>
    <row r="39" spans="5:31" ht="12.75">
      <c r="E39" s="426"/>
      <c r="F39" s="426"/>
      <c r="J39" s="426"/>
      <c r="K39" s="426"/>
      <c r="O39" s="426"/>
      <c r="P39" s="426"/>
      <c r="T39" s="426"/>
      <c r="U39" s="426"/>
      <c r="Y39" s="426"/>
      <c r="Z39" s="426"/>
      <c r="AC39" s="128"/>
      <c r="AD39" s="426"/>
      <c r="AE39" s="426"/>
    </row>
    <row r="40" spans="1:31" ht="12.75">
      <c r="A40" s="139" t="s">
        <v>218</v>
      </c>
      <c r="B40" s="133" t="s">
        <v>159</v>
      </c>
      <c r="C40" s="448">
        <v>153</v>
      </c>
      <c r="D40" s="174">
        <v>837981</v>
      </c>
      <c r="E40" s="428">
        <v>1.0184389367976734</v>
      </c>
      <c r="F40" s="449">
        <v>1.0054059000366324</v>
      </c>
      <c r="G40" s="425"/>
      <c r="H40" s="442">
        <v>3253</v>
      </c>
      <c r="I40" s="174">
        <v>17543159</v>
      </c>
      <c r="J40" s="428">
        <v>1.060431047845919</v>
      </c>
      <c r="K40" s="449">
        <v>1.041892679234537</v>
      </c>
      <c r="M40" s="442">
        <v>298</v>
      </c>
      <c r="N40" s="174">
        <v>1457712</v>
      </c>
      <c r="O40" s="428">
        <v>1.096448624979838</v>
      </c>
      <c r="P40" s="449">
        <v>1.1497488332631105</v>
      </c>
      <c r="R40" s="427">
        <v>216</v>
      </c>
      <c r="S40" s="174">
        <v>1155733</v>
      </c>
      <c r="T40" s="428">
        <v>1.1870749955512145</v>
      </c>
      <c r="U40" s="449">
        <v>1.1803164036107028</v>
      </c>
      <c r="W40" s="427">
        <v>81</v>
      </c>
      <c r="X40" s="174">
        <v>378968</v>
      </c>
      <c r="Y40" s="428">
        <v>1.2719769348182484</v>
      </c>
      <c r="Z40" s="449">
        <v>1.2104714225877446</v>
      </c>
      <c r="AB40" s="427">
        <v>4001</v>
      </c>
      <c r="AC40" s="174">
        <v>21373553</v>
      </c>
      <c r="AD40" s="428">
        <v>1.0711387038630407</v>
      </c>
      <c r="AE40" s="449">
        <v>1.0564568687523428</v>
      </c>
    </row>
    <row r="41" spans="1:31" ht="12.75">
      <c r="A41" s="139" t="s">
        <v>219</v>
      </c>
      <c r="B41" s="134" t="s">
        <v>160</v>
      </c>
      <c r="C41" s="443">
        <v>575</v>
      </c>
      <c r="D41" s="175">
        <v>8035580</v>
      </c>
      <c r="E41" s="431">
        <v>0.9784119778045131</v>
      </c>
      <c r="F41" s="432">
        <v>0.9512607045006608</v>
      </c>
      <c r="G41" s="425"/>
      <c r="H41" s="443">
        <v>5888</v>
      </c>
      <c r="I41" s="175">
        <v>70802321</v>
      </c>
      <c r="J41" s="431">
        <v>1.026205023689086</v>
      </c>
      <c r="K41" s="432">
        <v>0.9907285786078573</v>
      </c>
      <c r="M41" s="443">
        <v>417</v>
      </c>
      <c r="N41" s="175">
        <v>6092873</v>
      </c>
      <c r="O41" s="431">
        <v>1.0480493426657125</v>
      </c>
      <c r="P41" s="432">
        <v>1.0569318117983968</v>
      </c>
      <c r="R41" s="430">
        <v>678</v>
      </c>
      <c r="S41" s="175">
        <v>8964612</v>
      </c>
      <c r="T41" s="431">
        <v>1.2104583170108942</v>
      </c>
      <c r="U41" s="432">
        <v>1.219797407935522</v>
      </c>
      <c r="W41" s="430">
        <v>186</v>
      </c>
      <c r="X41" s="175">
        <v>2615130</v>
      </c>
      <c r="Y41" s="431">
        <v>1.3037781317293966</v>
      </c>
      <c r="Z41" s="432">
        <v>1.2944209233928556</v>
      </c>
      <c r="AB41" s="430">
        <v>7744</v>
      </c>
      <c r="AC41" s="175">
        <v>96510516</v>
      </c>
      <c r="AD41" s="431">
        <v>1.04282326818378</v>
      </c>
      <c r="AE41" s="432">
        <v>1.0154037038925814</v>
      </c>
    </row>
    <row r="42" spans="2:31" ht="12.75">
      <c r="B42" s="134" t="s">
        <v>161</v>
      </c>
      <c r="C42" s="443">
        <v>658</v>
      </c>
      <c r="D42" s="175">
        <v>19997586</v>
      </c>
      <c r="E42" s="431">
        <v>0.8713996362687857</v>
      </c>
      <c r="F42" s="432">
        <v>0.8698043959454759</v>
      </c>
      <c r="G42" s="425"/>
      <c r="H42" s="443">
        <v>4344</v>
      </c>
      <c r="I42" s="175">
        <v>122242448</v>
      </c>
      <c r="J42" s="431">
        <v>0.9207811999269537</v>
      </c>
      <c r="K42" s="432">
        <v>0.9122795424488891</v>
      </c>
      <c r="M42" s="443">
        <v>507</v>
      </c>
      <c r="N42" s="175">
        <v>15913576</v>
      </c>
      <c r="O42" s="431">
        <v>1.1057076585717862</v>
      </c>
      <c r="P42" s="432">
        <v>1.1282638157782727</v>
      </c>
      <c r="R42" s="430">
        <v>866</v>
      </c>
      <c r="S42" s="175">
        <v>26166532</v>
      </c>
      <c r="T42" s="431">
        <v>1.187725517839762</v>
      </c>
      <c r="U42" s="432">
        <v>1.1964411936473496</v>
      </c>
      <c r="W42" s="430">
        <v>336</v>
      </c>
      <c r="X42" s="175">
        <v>9613913</v>
      </c>
      <c r="Y42" s="431">
        <v>1.3453943128500647</v>
      </c>
      <c r="Z42" s="432">
        <v>1.3128163612799837</v>
      </c>
      <c r="AB42" s="430">
        <v>6711</v>
      </c>
      <c r="AC42" s="175">
        <v>193934055</v>
      </c>
      <c r="AD42" s="431">
        <v>0.9711680340257142</v>
      </c>
      <c r="AE42" s="432">
        <v>0.9682880158971076</v>
      </c>
    </row>
    <row r="43" spans="2:31" ht="12.75">
      <c r="B43" s="135" t="s">
        <v>162</v>
      </c>
      <c r="C43" s="444">
        <v>885</v>
      </c>
      <c r="D43" s="176">
        <v>51546332</v>
      </c>
      <c r="E43" s="434">
        <v>0.7798507571848542</v>
      </c>
      <c r="F43" s="435">
        <v>0.7789349481848703</v>
      </c>
      <c r="G43" s="425"/>
      <c r="H43" s="444">
        <v>4091</v>
      </c>
      <c r="I43" s="176">
        <v>224006235</v>
      </c>
      <c r="J43" s="434">
        <v>0.8435839714723338</v>
      </c>
      <c r="K43" s="435">
        <v>0.8363268269002155</v>
      </c>
      <c r="M43" s="444">
        <v>677</v>
      </c>
      <c r="N43" s="176">
        <v>39172599</v>
      </c>
      <c r="O43" s="434">
        <v>0.9334838820839727</v>
      </c>
      <c r="P43" s="435">
        <v>0.9212068189940793</v>
      </c>
      <c r="R43" s="433">
        <v>917</v>
      </c>
      <c r="S43" s="176">
        <v>53015749</v>
      </c>
      <c r="T43" s="434">
        <v>0.9909442928616646</v>
      </c>
      <c r="U43" s="435">
        <v>1.0010853524621801</v>
      </c>
      <c r="W43" s="433">
        <v>303</v>
      </c>
      <c r="X43" s="176">
        <v>17372677</v>
      </c>
      <c r="Y43" s="434">
        <v>1.2820979896068783</v>
      </c>
      <c r="Z43" s="435">
        <v>1.2762738654964552</v>
      </c>
      <c r="AB43" s="433">
        <v>6873</v>
      </c>
      <c r="AC43" s="176">
        <v>385113592</v>
      </c>
      <c r="AD43" s="434">
        <v>0.8731687293187046</v>
      </c>
      <c r="AE43" s="435">
        <v>0.8691069370142793</v>
      </c>
    </row>
    <row r="44" spans="5:31" ht="12.75">
      <c r="E44" s="426"/>
      <c r="F44" s="426"/>
      <c r="J44" s="426"/>
      <c r="K44" s="426"/>
      <c r="O44" s="426"/>
      <c r="P44" s="426"/>
      <c r="T44" s="426"/>
      <c r="U44" s="426"/>
      <c r="Y44" s="426"/>
      <c r="Z44" s="426"/>
      <c r="AC44" s="128"/>
      <c r="AD44" s="426"/>
      <c r="AE44" s="426"/>
    </row>
    <row r="45" spans="1:31" ht="12.75">
      <c r="A45" s="139" t="s">
        <v>224</v>
      </c>
      <c r="B45" s="133" t="s">
        <v>220</v>
      </c>
      <c r="C45" s="448">
        <v>1151</v>
      </c>
      <c r="D45" s="174">
        <v>40486508</v>
      </c>
      <c r="E45" s="428">
        <v>0.8645184971844304</v>
      </c>
      <c r="F45" s="449">
        <v>0.8175718663181759</v>
      </c>
      <c r="G45" s="425"/>
      <c r="H45" s="442">
        <v>9759</v>
      </c>
      <c r="I45" s="174">
        <v>244009712</v>
      </c>
      <c r="J45" s="428">
        <v>0.9587704536714343</v>
      </c>
      <c r="K45" s="449">
        <v>0.8982920771959909</v>
      </c>
      <c r="M45" s="442">
        <v>939</v>
      </c>
      <c r="N45" s="174">
        <v>30593249</v>
      </c>
      <c r="O45" s="428">
        <v>1.004333361538094</v>
      </c>
      <c r="P45" s="449">
        <v>0.9533888628575181</v>
      </c>
      <c r="R45" s="427">
        <v>1348</v>
      </c>
      <c r="S45" s="174">
        <v>44435515</v>
      </c>
      <c r="T45" s="428">
        <v>1.1153850991170244</v>
      </c>
      <c r="U45" s="449">
        <v>1.0652742776572237</v>
      </c>
      <c r="W45" s="427">
        <v>451</v>
      </c>
      <c r="X45" s="174">
        <v>15581750</v>
      </c>
      <c r="Y45" s="428">
        <v>1.3141582396876592</v>
      </c>
      <c r="Z45" s="449">
        <v>1.3812944473092807</v>
      </c>
      <c r="AB45" s="427">
        <v>13648</v>
      </c>
      <c r="AC45" s="174">
        <v>375106734</v>
      </c>
      <c r="AD45" s="428">
        <v>0.9750853309333246</v>
      </c>
      <c r="AE45" s="449">
        <v>0.9233622623529661</v>
      </c>
    </row>
    <row r="46" spans="1:31" ht="12.75">
      <c r="A46" s="139" t="s">
        <v>225</v>
      </c>
      <c r="B46" s="135" t="s">
        <v>221</v>
      </c>
      <c r="C46" s="444">
        <v>1120</v>
      </c>
      <c r="D46" s="176">
        <v>39930971</v>
      </c>
      <c r="E46" s="434">
        <v>0.863877889379401</v>
      </c>
      <c r="F46" s="435">
        <v>0.8161395886902515</v>
      </c>
      <c r="G46" s="425"/>
      <c r="H46" s="444">
        <v>7817</v>
      </c>
      <c r="I46" s="176">
        <v>190584451</v>
      </c>
      <c r="J46" s="434">
        <v>0.9540042560867259</v>
      </c>
      <c r="K46" s="435">
        <v>0.872210809890676</v>
      </c>
      <c r="M46" s="444">
        <v>960</v>
      </c>
      <c r="N46" s="176">
        <v>32043511</v>
      </c>
      <c r="O46" s="434">
        <v>1.0451936281076983</v>
      </c>
      <c r="P46" s="435">
        <v>1.0149603904247406</v>
      </c>
      <c r="R46" s="433">
        <v>1329</v>
      </c>
      <c r="S46" s="176">
        <v>44867111</v>
      </c>
      <c r="T46" s="434">
        <v>1.1186569813362075</v>
      </c>
      <c r="U46" s="435">
        <v>1.0825891701197916</v>
      </c>
      <c r="W46" s="433">
        <v>455</v>
      </c>
      <c r="X46" s="176">
        <v>14398938</v>
      </c>
      <c r="Y46" s="434">
        <v>1.3028679846822773</v>
      </c>
      <c r="Z46" s="435">
        <v>1.201113453693609</v>
      </c>
      <c r="AB46" s="433">
        <v>11681</v>
      </c>
      <c r="AC46" s="176">
        <v>321824982</v>
      </c>
      <c r="AD46" s="434">
        <v>0.9778074540000733</v>
      </c>
      <c r="AE46" s="435">
        <v>0.9131407895310834</v>
      </c>
    </row>
    <row r="49" ht="12.75">
      <c r="B49" s="130" t="s">
        <v>246</v>
      </c>
    </row>
    <row r="50" ht="12.75">
      <c r="B50" s="130" t="s">
        <v>271</v>
      </c>
    </row>
  </sheetData>
  <sheetProtection/>
  <mergeCells count="20">
    <mergeCell ref="A6:AB6"/>
    <mergeCell ref="T10:U10"/>
    <mergeCell ref="W10:X10"/>
    <mergeCell ref="A7:AA7"/>
    <mergeCell ref="C8:F8"/>
    <mergeCell ref="H8:K8"/>
    <mergeCell ref="M8:P8"/>
    <mergeCell ref="R8:U8"/>
    <mergeCell ref="W8:Z8"/>
    <mergeCell ref="Y10:Z10"/>
    <mergeCell ref="AB10:AC10"/>
    <mergeCell ref="AD10:AE10"/>
    <mergeCell ref="AB8:AE8"/>
    <mergeCell ref="C10:D10"/>
    <mergeCell ref="E10:F10"/>
    <mergeCell ref="H10:I10"/>
    <mergeCell ref="J10:K10"/>
    <mergeCell ref="M10:N10"/>
    <mergeCell ref="O10:P10"/>
    <mergeCell ref="R10:S10"/>
  </mergeCells>
  <printOptions/>
  <pageMargins left="0.75" right="0.75" top="1" bottom="1" header="0.5" footer="0.5"/>
  <pageSetup fitToHeight="4" fitToWidth="1" horizontalDpi="600" verticalDpi="600" orientation="landscape" scale="42" r:id="rId1"/>
  <headerFooter alignWithMargins="0">
    <oddFooter>&amp;L&amp;F&amp;R&amp;"Arial,Italic"&amp;A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x154251</cp:lastModifiedBy>
  <cp:lastPrinted>2010-02-11T18:42:45Z</cp:lastPrinted>
  <dcterms:created xsi:type="dcterms:W3CDTF">1996-10-14T23:33:28Z</dcterms:created>
  <dcterms:modified xsi:type="dcterms:W3CDTF">2010-02-12T16:35:43Z</dcterms:modified>
  <cp:category/>
  <cp:version/>
  <cp:contentType/>
  <cp:contentStatus/>
</cp:coreProperties>
</file>